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codeName="ThisWorkbook"/>
  <mc:AlternateContent xmlns:mc="http://schemas.openxmlformats.org/markup-compatibility/2006">
    <mc:Choice Requires="x15">
      <x15ac:absPath xmlns:x15ac="http://schemas.microsoft.com/office/spreadsheetml/2010/11/ac" url="/Users/lorena/Desktop/MIPG/Indicadores/2. Seguimiento Indicadores Trimestre II_2020/"/>
    </mc:Choice>
  </mc:AlternateContent>
  <bookViews>
    <workbookView xWindow="0" yWindow="440" windowWidth="28800" windowHeight="16400" tabRatio="599"/>
  </bookViews>
  <sheets>
    <sheet name="Matriz Cons. Indicadores " sheetId="8" r:id="rId1"/>
    <sheet name="Hoja2" sheetId="10" r:id="rId2"/>
    <sheet name="Hoja1" sheetId="9" state="hidden" r:id="rId3"/>
    <sheet name="Instructivo" sheetId="4" state="hidden" r:id="rId4"/>
    <sheet name="Fuente " sheetId="6" state="hidden" r:id="rId5"/>
  </sheets>
  <externalReferences>
    <externalReference r:id="rId6"/>
    <externalReference r:id="rId7"/>
    <externalReference r:id="rId8"/>
  </externalReferences>
  <definedNames>
    <definedName name="_4._Proyecto_de_Inversión_IDT">'Fuente '!$E$3:$E$8</definedName>
    <definedName name="_xlnm._FilterDatabase" localSheetId="0" hidden="1">'Matriz Cons. Indicadores '!$A$4:$WVU$70</definedName>
    <definedName name="Activ">#REF!</definedName>
    <definedName name="ActivNo">[1]Códigos!$V$2:$V$52</definedName>
    <definedName name="Apoyo">'Fuente '!$C$24:$C$43</definedName>
    <definedName name="area">#REF!</definedName>
    <definedName name="_xlnm.Print_Area" localSheetId="0">'Matriz Cons. Indicadores '!$A$1:$S$70</definedName>
    <definedName name="AtencionCiudadano">'Fuente '!#REF!</definedName>
    <definedName name="BienesSs">'Fuente '!$C$29:$C$31</definedName>
    <definedName name="Bimensual">'Matriz Cons. Indicadores '!$M$5</definedName>
    <definedName name="Bimestral">'Matriz Cons. Indicadores '!$M$5</definedName>
    <definedName name="CARGO">[2]Hoja1!$C$16:$C$23</definedName>
    <definedName name="CLAUDIA">#REF!</definedName>
    <definedName name="Comunicaciones">'Fuente '!$C$8:$C$8</definedName>
    <definedName name="Dependencia">'Fuente '!$P$3:$P$12</definedName>
    <definedName name="Destino">'Fuente '!$C$12:$C$19</definedName>
    <definedName name="DireccionamientoE">'Fuente '!$C$3:$C$6</definedName>
    <definedName name="Disciplinario">'Fuente '!#REF!</definedName>
    <definedName name="Documental">'Fuente '!$C$38:$C$39</definedName>
    <definedName name="edad">#REF!</definedName>
    <definedName name="Eficiencia">'Matriz Cons. Indicadores '!$L$16</definedName>
    <definedName name="EjeTransversalPDD">'Fuente '!$E$24:$E$26</definedName>
    <definedName name="Estrategicos">'Fuente '!$C$3:$C$8</definedName>
    <definedName name="etnia">#REF!</definedName>
    <definedName name="Evaluacion">'Fuente '!$C$44:$C$47</definedName>
    <definedName name="Falta">'Fuente '!$M$3</definedName>
    <definedName name="faltaproc">'[3]Formato H.V.'!#REF!</definedName>
    <definedName name="Financiera">'Fuente '!$C$32:$C$35</definedName>
    <definedName name="FRECUENCIA">[2]Hoja1!$A$1:$A$5</definedName>
    <definedName name="genero">#REF!</definedName>
    <definedName name="gg">#REF!</definedName>
    <definedName name="InformacionT">'Fuente '!$C$9:$C$11</definedName>
    <definedName name="JUDITH">#REF!</definedName>
    <definedName name="Juridica">'Fuente '!$C$36:$C$37</definedName>
    <definedName name="kk">#REF!</definedName>
    <definedName name="LIDERES">[2]Hoja1!$E$1:$F$11</definedName>
    <definedName name="localidad">#REF!</definedName>
    <definedName name="MARY">'[3]Formato H.V.'!#REF!</definedName>
    <definedName name="MAYO">'[3]Formato H.V.'!#REF!</definedName>
    <definedName name="meta712">'[3]Formato H.V.'!#REF!</definedName>
    <definedName name="meta731">'[3]Formato H.V.'!#REF!</definedName>
    <definedName name="meta740">'[3]Formato H.V.'!#REF!</definedName>
    <definedName name="metas712">[1]Códigos!$Q$4</definedName>
    <definedName name="metas731">[1]Códigos!$Q$7:$Q$13</definedName>
    <definedName name="metas740">[1]Códigos!$Q$16:$Q$24</definedName>
    <definedName name="MetasPDD">'Fuente '!$F$3:$F$10</definedName>
    <definedName name="MetasProceso">'Fuente '!$C$3:$C$47</definedName>
    <definedName name="Misionales">'Fuente '!$C$9:$C$23</definedName>
    <definedName name="mveri">#REF!</definedName>
    <definedName name="Objetivo_Estratégico" localSheetId="4">'Fuente '!$R$3:$R$6</definedName>
    <definedName name="ObjetivoEstratégico">'Fuente '!$R$3:$R$6</definedName>
    <definedName name="objetivos">[1]Códigos!$R$2:$R$5</definedName>
    <definedName name="ObjetivosE">'Fuente '!$R$3:$R$6</definedName>
    <definedName name="oo">#REF!</definedName>
    <definedName name="Periodicidad">'Fuente '!$P$25:$P$30</definedName>
    <definedName name="PLANEACION">'[3]Formato H.V.'!#REF!</definedName>
    <definedName name="poblacion">#REF!</definedName>
    <definedName name="PR">#REF!</definedName>
    <definedName name="Proceso">'Fuente '!$O$3:$O$17</definedName>
    <definedName name="Procesos">'Fuente '!$O$3:$O$17</definedName>
    <definedName name="Promocion">'Fuente '!$C$20:$C$23</definedName>
    <definedName name="proy">[1]Códigos!$A$2:$A$5</definedName>
    <definedName name="Proy1036">'Fuente '!$F$3:$F$6</definedName>
    <definedName name="Proy1038">'Fuente '!$F$9</definedName>
    <definedName name="proy712">'[3]Formato H.V.'!#REF!</definedName>
    <definedName name="proy731">'[3]Formato H.V.'!#REF!</definedName>
    <definedName name="proy740">'[3]Formato H.V.'!#REF!</definedName>
    <definedName name="Proy988">'Fuente '!$F$7:$F$10</definedName>
    <definedName name="Proyecto">'Fuente '!$E$2:$E$8</definedName>
    <definedName name="ProyectoEstrategicoPDD">'Fuente '!$F$24:$F$29</definedName>
    <definedName name="ProyectosInversión">'Fuente '!$E$3:$E$6</definedName>
    <definedName name="recursos">[1]Códigos!$U$2:$U$4</definedName>
    <definedName name="Responsable">'Fuente '!$Q$3:$Q$13</definedName>
    <definedName name="select">#REF!</definedName>
    <definedName name="sexo">#REF!</definedName>
    <definedName name="SGA">'[3]Formato H.V.'!#REF!</definedName>
    <definedName name="SGC">'[3]Formato H.V.'!#REF!</definedName>
    <definedName name="SGSI">'[3]Formato H.V.'!#REF!</definedName>
    <definedName name="SIGA">'[3]Formato H.V.'!#REF!</definedName>
    <definedName name="SRS">'[3]Formato H.V.'!#REF!</definedName>
    <definedName name="ss">#REF!</definedName>
    <definedName name="SSO">'[3]Formato H.V.'!#REF!</definedName>
    <definedName name="tactividad">[1]Códigos!$Y$2:$Y$6</definedName>
    <definedName name="TalentoH">'Fuente '!$C$24:$C$28</definedName>
    <definedName name="Tecnologia">'Fuente '!$C$40:$C$40</definedName>
    <definedName name="Tipoindicador">'Fuente '!$O$25:$O$28</definedName>
    <definedName name="_xlnm.Print_Titles" localSheetId="0">'Matriz Cons. Indicadores '!$4:$4</definedName>
    <definedName name="Todas">'Fuente '!$M$6</definedName>
    <definedName name="tt">#REF!</definedName>
    <definedName name="vigencia">#REF!</definedName>
  </definedNames>
  <calcPr calcId="150001"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2" i="8" l="1"/>
  <c r="X12" i="8"/>
  <c r="W7" i="8"/>
  <c r="W10" i="8"/>
  <c r="W15" i="8"/>
  <c r="W14" i="8"/>
  <c r="W17" i="8"/>
  <c r="X17" i="8"/>
  <c r="V17" i="8"/>
  <c r="S17" i="8"/>
  <c r="V11" i="8"/>
  <c r="S11" i="8"/>
  <c r="X10" i="8"/>
  <c r="X29" i="8"/>
  <c r="W29" i="8"/>
  <c r="W31" i="8"/>
  <c r="X31" i="8"/>
  <c r="X14" i="8"/>
  <c r="S13" i="8"/>
  <c r="W13" i="8"/>
  <c r="X13" i="8"/>
  <c r="S54" i="8"/>
  <c r="W54" i="8"/>
  <c r="X54" i="8"/>
  <c r="T27" i="8"/>
  <c r="U27" i="8"/>
  <c r="V70" i="8"/>
  <c r="W70" i="8"/>
  <c r="X70" i="8"/>
  <c r="V62" i="8"/>
  <c r="W62" i="8"/>
  <c r="X62" i="8"/>
  <c r="W57" i="8"/>
  <c r="S55" i="8"/>
  <c r="S43" i="8"/>
  <c r="S42" i="8"/>
  <c r="W42" i="8"/>
  <c r="S32" i="8"/>
  <c r="S28" i="8"/>
  <c r="S15" i="8"/>
  <c r="V55" i="8"/>
  <c r="V43" i="8"/>
  <c r="V47" i="8"/>
  <c r="W47" i="8"/>
  <c r="X47" i="8"/>
  <c r="V46" i="8"/>
  <c r="W46" i="8"/>
  <c r="X46" i="8"/>
  <c r="W43" i="8"/>
  <c r="X43" i="8"/>
  <c r="W55" i="8"/>
  <c r="T41" i="8"/>
  <c r="W41" i="8"/>
  <c r="V32" i="8"/>
  <c r="W32" i="8"/>
  <c r="V28" i="8"/>
  <c r="W28" i="8"/>
  <c r="X28" i="8"/>
  <c r="V22" i="8"/>
  <c r="W22" i="8"/>
  <c r="X22" i="8"/>
  <c r="V15" i="8"/>
  <c r="X15" i="8"/>
  <c r="X32" i="8"/>
  <c r="X21" i="8"/>
  <c r="S21" i="8"/>
  <c r="R21" i="8"/>
  <c r="Q21" i="8"/>
  <c r="W21" i="8"/>
  <c r="X20" i="8"/>
  <c r="S20" i="8"/>
  <c r="R20" i="8"/>
  <c r="Q20" i="8"/>
  <c r="W20" i="8"/>
  <c r="X19" i="8"/>
  <c r="V19" i="8"/>
  <c r="U19" i="8"/>
  <c r="T19" i="8"/>
  <c r="S19" i="8"/>
  <c r="R19" i="8"/>
  <c r="Q19" i="8"/>
  <c r="W19" i="8"/>
  <c r="X18" i="8"/>
  <c r="U18" i="8"/>
  <c r="T18" i="8"/>
  <c r="S18" i="8"/>
  <c r="R18" i="8"/>
  <c r="Q18" i="8"/>
  <c r="W18" i="8"/>
  <c r="V60" i="8"/>
  <c r="U60" i="8"/>
  <c r="T60" i="8"/>
  <c r="S60" i="8"/>
  <c r="R60" i="8"/>
  <c r="Q60" i="8"/>
  <c r="X61" i="8"/>
  <c r="V61" i="8"/>
  <c r="U61" i="8"/>
  <c r="T61" i="8"/>
  <c r="S61" i="8"/>
  <c r="R61" i="8"/>
  <c r="Q61" i="8"/>
  <c r="W56" i="8"/>
  <c r="X56" i="8"/>
  <c r="V53" i="8"/>
  <c r="U53" i="8"/>
  <c r="S53" i="8"/>
  <c r="R53" i="8"/>
  <c r="V52" i="8"/>
  <c r="U52" i="8"/>
  <c r="T52" i="8"/>
  <c r="S52" i="8"/>
  <c r="R52" i="8"/>
  <c r="Q52" i="8"/>
  <c r="R51" i="8"/>
  <c r="Q51" i="8"/>
  <c r="W53" i="8"/>
  <c r="X53" i="8"/>
  <c r="W51" i="8"/>
  <c r="X51" i="8"/>
  <c r="W52" i="8"/>
  <c r="W60" i="8"/>
  <c r="X60" i="8"/>
  <c r="W61" i="8"/>
  <c r="V50" i="8"/>
  <c r="U50" i="8"/>
  <c r="T50" i="8"/>
  <c r="S50" i="8"/>
  <c r="R50" i="8"/>
  <c r="Q50" i="8"/>
  <c r="V49" i="8"/>
  <c r="U49" i="8"/>
  <c r="T49" i="8"/>
  <c r="S49" i="8"/>
  <c r="R49" i="8"/>
  <c r="Q49" i="8"/>
  <c r="V48" i="8"/>
  <c r="U48" i="8"/>
  <c r="T48" i="8"/>
  <c r="S48" i="8"/>
  <c r="R48" i="8"/>
  <c r="Q48" i="8"/>
  <c r="S45" i="8"/>
  <c r="R45" i="8"/>
  <c r="Q45" i="8"/>
  <c r="T44" i="8"/>
  <c r="S44" i="8"/>
  <c r="R44" i="8"/>
  <c r="Q44" i="8"/>
  <c r="X41" i="8"/>
  <c r="W45" i="8"/>
  <c r="X45" i="8"/>
  <c r="W48" i="8"/>
  <c r="W50" i="8"/>
  <c r="X50" i="8"/>
  <c r="W49" i="8"/>
  <c r="W44" i="8"/>
  <c r="X44" i="8"/>
  <c r="V40" i="8"/>
  <c r="U40" i="8"/>
  <c r="T40" i="8"/>
  <c r="S40" i="8"/>
  <c r="R40" i="8"/>
  <c r="Q40" i="8"/>
  <c r="W39" i="8"/>
  <c r="W38" i="8"/>
  <c r="V37" i="8"/>
  <c r="U37" i="8"/>
  <c r="T37" i="8"/>
  <c r="V36" i="8"/>
  <c r="S36" i="8"/>
  <c r="V35" i="8"/>
  <c r="U35" i="8"/>
  <c r="T35" i="8"/>
  <c r="S35" i="8"/>
  <c r="R35" i="8"/>
  <c r="Q35" i="8"/>
  <c r="X34" i="8"/>
  <c r="V34" i="8"/>
  <c r="U34" i="8"/>
  <c r="T34" i="8"/>
  <c r="V33" i="8"/>
  <c r="U33" i="8"/>
  <c r="T33" i="8"/>
  <c r="V23" i="8"/>
  <c r="U23" i="8"/>
  <c r="S23" i="8"/>
  <c r="X24" i="8"/>
  <c r="W24" i="8"/>
  <c r="V24" i="8"/>
  <c r="U24" i="8"/>
  <c r="S24" i="8"/>
  <c r="R24" i="8"/>
  <c r="X25" i="8"/>
  <c r="V25" i="8"/>
  <c r="T25" i="8"/>
  <c r="V26" i="8"/>
  <c r="T26" i="8"/>
  <c r="W36" i="8"/>
  <c r="X36" i="8"/>
  <c r="W35" i="8"/>
  <c r="X35" i="8"/>
  <c r="W40" i="8"/>
  <c r="W26" i="8"/>
  <c r="U31" i="8"/>
  <c r="T31" i="8"/>
  <c r="S31" i="8"/>
  <c r="R31" i="8"/>
  <c r="Q31" i="8"/>
  <c r="S30" i="8"/>
  <c r="R30" i="8"/>
  <c r="Q30" i="8"/>
  <c r="W30" i="8"/>
  <c r="R29" i="8"/>
  <c r="Q29" i="8"/>
  <c r="X26" i="8"/>
  <c r="W25" i="8"/>
  <c r="Q10" i="8"/>
  <c r="R10" i="8"/>
  <c r="S10" i="8"/>
  <c r="U8" i="8"/>
  <c r="T8" i="8"/>
  <c r="S8" i="8"/>
  <c r="R8" i="8"/>
  <c r="W8" i="8"/>
  <c r="X8" i="8"/>
  <c r="W16" i="8"/>
  <c r="S9" i="8"/>
  <c r="V9" i="8"/>
  <c r="Q9" i="8"/>
  <c r="S6" i="8"/>
  <c r="R6" i="8"/>
  <c r="U9" i="8"/>
  <c r="T9" i="8"/>
  <c r="R9" i="8"/>
  <c r="W9" i="8"/>
  <c r="T66" i="8"/>
  <c r="W66" i="8"/>
  <c r="X66" i="8"/>
  <c r="V64" i="8"/>
  <c r="U64" i="8"/>
  <c r="V65" i="8"/>
  <c r="W65" i="8"/>
  <c r="X65" i="8"/>
  <c r="T67" i="8"/>
  <c r="W67" i="8"/>
  <c r="X67" i="8"/>
  <c r="W64" i="8"/>
  <c r="X64" i="8"/>
  <c r="V63" i="8"/>
  <c r="U63" i="8"/>
  <c r="T63" i="8"/>
  <c r="S63" i="8"/>
  <c r="R63" i="8"/>
  <c r="Q63" i="8"/>
  <c r="V58" i="8"/>
  <c r="U58" i="8"/>
  <c r="T58" i="8"/>
  <c r="V7" i="8"/>
  <c r="S7" i="8"/>
  <c r="R7" i="8"/>
  <c r="Q7" i="8"/>
  <c r="T6" i="8"/>
  <c r="Q6" i="8"/>
  <c r="V5" i="8"/>
  <c r="U5" i="8"/>
  <c r="T5" i="8"/>
  <c r="S5" i="8"/>
  <c r="R5" i="8"/>
  <c r="Q5" i="8"/>
  <c r="X7" i="8"/>
  <c r="W63" i="8"/>
  <c r="X63" i="8"/>
  <c r="W6" i="8"/>
  <c r="X6" i="8"/>
  <c r="W5" i="8"/>
  <c r="W59" i="8"/>
  <c r="S58" i="8"/>
  <c r="R58" i="8"/>
  <c r="S37" i="8"/>
  <c r="R37" i="8"/>
  <c r="Q37" i="8"/>
  <c r="W37" i="8"/>
  <c r="X37" i="8"/>
  <c r="X11" i="8"/>
  <c r="X49" i="8"/>
  <c r="X42" i="8"/>
  <c r="W68" i="8"/>
  <c r="X68" i="8"/>
  <c r="X59" i="8"/>
  <c r="X57" i="8"/>
  <c r="X55" i="8"/>
  <c r="X39" i="8"/>
  <c r="G8" i="9"/>
  <c r="G11" i="9"/>
  <c r="G6" i="9"/>
  <c r="X16" i="8"/>
  <c r="X52" i="8"/>
  <c r="S33" i="8"/>
  <c r="W33" i="8"/>
  <c r="X33" i="8"/>
  <c r="S34" i="8"/>
  <c r="R34" i="8"/>
  <c r="Q58" i="8"/>
  <c r="W58" i="8"/>
  <c r="X58" i="8"/>
  <c r="R23" i="8"/>
  <c r="W23" i="8"/>
  <c r="X23" i="8"/>
  <c r="W34" i="8"/>
  <c r="X48" i="8"/>
  <c r="X9" i="8"/>
</calcChain>
</file>

<file path=xl/comments1.xml><?xml version="1.0" encoding="utf-8"?>
<comments xmlns="http://schemas.openxmlformats.org/spreadsheetml/2006/main">
  <authors>
    <author>Freddy Alexander Castañeda Perez</author>
    <author>camila Rodriguez</author>
  </authors>
  <commentList>
    <comment ref="L16" authorId="0">
      <text>
        <r>
          <rPr>
            <b/>
            <sz val="9"/>
            <color indexed="81"/>
            <rFont val="Tahoma"/>
            <family val="2"/>
          </rPr>
          <t>Freddy Alexander Castañeda Perez:</t>
        </r>
        <r>
          <rPr>
            <sz val="9"/>
            <color indexed="81"/>
            <rFont val="Tahoma"/>
            <family val="2"/>
          </rPr>
          <t xml:space="preserve">
es de eficiencia</t>
        </r>
      </text>
    </comment>
    <comment ref="M28" authorId="1">
      <text>
        <r>
          <rPr>
            <b/>
            <sz val="9"/>
            <color indexed="81"/>
            <rFont val="Tahoma"/>
            <family val="2"/>
          </rPr>
          <t>camila Rodriguez:</t>
        </r>
        <r>
          <rPr>
            <sz val="9"/>
            <color indexed="81"/>
            <rFont val="Tahoma"/>
            <family val="2"/>
          </rPr>
          <t xml:space="preserve">
Trimestral </t>
        </r>
      </text>
    </comment>
  </commentList>
</comments>
</file>

<file path=xl/sharedStrings.xml><?xml version="1.0" encoding="utf-8"?>
<sst xmlns="http://schemas.openxmlformats.org/spreadsheetml/2006/main" count="1445" uniqueCount="509">
  <si>
    <t>Eje Transversal PDD/Programa</t>
  </si>
  <si>
    <t>Proyecto Estratégico PDD</t>
  </si>
  <si>
    <t>Proceso</t>
  </si>
  <si>
    <t>Periodicidad</t>
  </si>
  <si>
    <t>RANGOS DE GESTIÓN</t>
  </si>
  <si>
    <t>NO PROGRAMADO</t>
  </si>
  <si>
    <t>N.A.</t>
  </si>
  <si>
    <t>NIVEL CRÍTICO</t>
  </si>
  <si>
    <t>MENOR A 70%</t>
  </si>
  <si>
    <t>NIVEL ACEPTABLE</t>
  </si>
  <si>
    <t>ENTRE 70% Y 90 %</t>
  </si>
  <si>
    <t>NIVEL SATISFACTORIO</t>
  </si>
  <si>
    <t>MAYOR 90%</t>
  </si>
  <si>
    <t>Tipo</t>
  </si>
  <si>
    <t>Metas</t>
  </si>
  <si>
    <t>Metas Plan de Desarrollo</t>
  </si>
  <si>
    <t>Falta</t>
  </si>
  <si>
    <t>Dependencia</t>
  </si>
  <si>
    <t>Responsable</t>
  </si>
  <si>
    <t>Objetivo Estratégico</t>
  </si>
  <si>
    <t>PROCESOS ESTRATÉGICOS</t>
  </si>
  <si>
    <t>01.-Direccionamiento estratégico</t>
  </si>
  <si>
    <t xml:space="preserve">Atender 100% las necesidades relacionadas con la prestación de servicios de apoyo a la gestión de la entidad </t>
  </si>
  <si>
    <t>Cinco (5) atractivos turísticos intervenidos</t>
  </si>
  <si>
    <t>&lt;Diligencie el campo anterior&gt;</t>
  </si>
  <si>
    <t>&lt;Seleccione una opción&gt;</t>
  </si>
  <si>
    <t>&lt;Seleccione el Área Solicitante&gt;</t>
  </si>
  <si>
    <t>&lt;Seleccione el cargo del líder del proceso&gt;</t>
  </si>
  <si>
    <t>Fortalecer doscientas (200) empresas, prestadores de servicios turísticos y complementarios</t>
  </si>
  <si>
    <t>Dirección General</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</si>
  <si>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</si>
  <si>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</si>
  <si>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Asesorar 100% a los procesos en el desarrollo de las actividades clave para el logro de objetivos y metas institucionales.</t>
  </si>
  <si>
    <t>Quinientas (500) personas vinculadas a procesos de formación</t>
  </si>
  <si>
    <t>Todos los proyectos de inversión del IDT</t>
  </si>
  <si>
    <t>02.-Comunicaciones</t>
  </si>
  <si>
    <t>Subdirección Corporativa y de Control Disciplinario</t>
  </si>
  <si>
    <t>Subdirector(a) Corporativo y de Control Disciplinario</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</si>
  <si>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</si>
  <si>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Realizar cuatro (4) investigaciones del sector turismo de Bogotá</t>
  </si>
  <si>
    <t>Todas las metas Plan de Desarrollo</t>
  </si>
  <si>
    <t>03.-Gestión de información turística</t>
  </si>
  <si>
    <t>Subdirección de Promoción y Mercadeo</t>
  </si>
  <si>
    <t>Subdirector(a) de Promoción y Mercadeo</t>
  </si>
  <si>
    <t>3- Afianzar la gestión de la entidad a través de la implementación de estrategias de fortalecimiento institucional que contribuyan a posicionar al Instituto como líder a nivel nacional e internacional, en el desarrollo de Bogotá como un destino turístico</t>
  </si>
  <si>
    <t>Atender al 100%  las actividades de gestión de las comunicaciones internas y  externas  del Instituto Distrital de Turismo</t>
  </si>
  <si>
    <t>04.-Gestión de destino competitivo y sostenible</t>
  </si>
  <si>
    <t>Subdirección de Gestión del Destino</t>
  </si>
  <si>
    <t>Subdirector(a) de Gestión del Destino</t>
  </si>
  <si>
    <t>Todas metas las asociadas al proceso</t>
  </si>
  <si>
    <t>Novecientas mil (900.000) personas atendidas a través de la red de información turística</t>
  </si>
  <si>
    <t>05.-Promoción y mercadeo turístico de ciudad</t>
  </si>
  <si>
    <t>Oficina Asesora de Planeación y Sistemas</t>
  </si>
  <si>
    <t>PROCESOS MISIONALES</t>
  </si>
  <si>
    <t>Realizar 4  investigaciones del sector turismo de Bogotá</t>
  </si>
  <si>
    <t xml:space="preserve">Participar y/o realizar doscientas cincuenta (250) actividades de promoción y posicionamiento turístico </t>
  </si>
  <si>
    <t>06.-Gestión del talento humano</t>
  </si>
  <si>
    <t>Oficina Asesora Jurídica</t>
  </si>
  <si>
    <t>Jefe Oficina Asesora Jurídica</t>
  </si>
  <si>
    <t>Realizar 8 estudios de caracterización de oferta turística de Bogotá y/o del comportamiento de la demanda turística en la ciudad.</t>
  </si>
  <si>
    <t>Todas las asociadas al proyecto</t>
  </si>
  <si>
    <t>07.-Gestión de bienes y servicios</t>
  </si>
  <si>
    <t>Observatorio Turístico</t>
  </si>
  <si>
    <t>Asesor(a) Observatorio Turístico</t>
  </si>
  <si>
    <t>Fortalecer 100% el Sistema de Información Turística de Bogotá</t>
  </si>
  <si>
    <t>08.-Gestión financiera</t>
  </si>
  <si>
    <t>Comunicaciones</t>
  </si>
  <si>
    <t>Asesor(a) Comunicaciones</t>
  </si>
  <si>
    <t>Fortalecer 5 productos turísticos de Bogotá</t>
  </si>
  <si>
    <t>09.-Gestión jurídica y contractual</t>
  </si>
  <si>
    <t>Control Interno</t>
  </si>
  <si>
    <t>Asesor(a) Control Interno</t>
  </si>
  <si>
    <t>Fortalecer 200 empresas del sector turístico a través de procesos de acompañamiento en calidad, innovación, sostenibilidad,  ética y responsabilidad social</t>
  </si>
  <si>
    <t>10.-Gestión documental</t>
  </si>
  <si>
    <t>Asesor(a) Dirección General</t>
  </si>
  <si>
    <t>Formar 500 líderes del sector, a través de procesos de formación en liderazgo,  gestión del desarrollo turístico, bilingüismo, entre otros</t>
  </si>
  <si>
    <t>11.-Gestión tecnológica</t>
  </si>
  <si>
    <t>12.-Atención al ciudadano</t>
  </si>
  <si>
    <t>Acompañar 6 localidades en la implementación de actividades y procesos de fortalecimiento turístico</t>
  </si>
  <si>
    <t>13.-Evaluación institucional</t>
  </si>
  <si>
    <t>Intervenir 5 atractivos turísticos de naturaleza y urbanos</t>
  </si>
  <si>
    <t>14.-Control interno disciplinario</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</si>
  <si>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</si>
  <si>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</si>
  <si>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</si>
  <si>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</si>
  <si>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</si>
  <si>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PROCESOS DE APOYO</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</si>
  <si>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</si>
  <si>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</si>
  <si>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</si>
  <si>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G.B.S. Atender 100% las necesidades de adecuación y mantenimiento de la infraestructura física y operativa del IDT</t>
  </si>
  <si>
    <t>G.B.S. Atender 100% las necesidades de servicios administrativos para el funcionamiento del IDT.</t>
  </si>
  <si>
    <t>G.B.S. Manejar y controlar el 100% de los bienes del IDT.</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</si>
  <si>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</si>
  <si>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</si>
  <si>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</si>
  <si>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</si>
  <si>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</si>
  <si>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</si>
  <si>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G.D. Mantener y hacer seguimiento al 100% del  subsistema interno de gestión de archivos - SIGA en el IDT</t>
  </si>
  <si>
    <t>G.T. Atender 100% las necesidades de infraestructura tecnológica del IDT</t>
  </si>
  <si>
    <t>A.C. Implementar el 100% de las estrategias de atención al ciudadano, prevención de la corrupción y participación ciudadana y control social</t>
  </si>
  <si>
    <t>PROCESOS DE EVALUACIÓN</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</si>
  <si>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</si>
  <si>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</si>
  <si>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 de Indicador</t>
  </si>
  <si>
    <t>Eficacia</t>
  </si>
  <si>
    <t>Eficiencia</t>
  </si>
  <si>
    <t>Efectividad</t>
  </si>
  <si>
    <t>Mensual</t>
  </si>
  <si>
    <t>Trimestral</t>
  </si>
  <si>
    <t>Semestral</t>
  </si>
  <si>
    <t>Anual</t>
  </si>
  <si>
    <t>988 Turismo como generador de desarrollo confianza y felicidad para todos</t>
  </si>
  <si>
    <t>1036 Bogotá destino turístico competitivo y sostenible</t>
  </si>
  <si>
    <t>1038 Fortalecimiento institucional del IDT</t>
  </si>
  <si>
    <t>Proyectos Inversión</t>
  </si>
  <si>
    <t>1. Eje Transversal PDD/Programa</t>
  </si>
  <si>
    <t>2. Proyecto Estratégico PDD</t>
  </si>
  <si>
    <t>3. Meta PDD</t>
  </si>
  <si>
    <t>4. Proyecto de Inversión IDT</t>
  </si>
  <si>
    <t>5. Objetivo estratégico y del Sistema de Gestión IDT</t>
  </si>
  <si>
    <t>6. Proceso</t>
  </si>
  <si>
    <t>7. Meta 
Proceso</t>
  </si>
  <si>
    <t>8. Código indicador</t>
  </si>
  <si>
    <t>9. Nombre del indicador</t>
  </si>
  <si>
    <t>10. Objetivo del indicador</t>
  </si>
  <si>
    <t>11. Variables del indicador</t>
  </si>
  <si>
    <t>12. Tipo de indicador</t>
  </si>
  <si>
    <t>13. Periodicidad</t>
  </si>
  <si>
    <t>14. Unidad de Medida</t>
  </si>
  <si>
    <t>7. Meta Proceso</t>
  </si>
  <si>
    <t>16. Meta Vigencia</t>
  </si>
  <si>
    <t>18. Ejecución Acumulado Vigencia</t>
  </si>
  <si>
    <t>De la lista desplegable, indicar el eje transversal y programa del Plan Distrital de Desarrollo al cual se asocia el indicador.</t>
  </si>
  <si>
    <t>De la lista desplegable, indicar el proyecto estrategico del Plan Distrital de Desarrollo al cual se asocia el indicador.</t>
  </si>
  <si>
    <t>De la lista desplegable, indicar la meta del Plan Distrital de Desarrollo al cual se asocia el indicador.</t>
  </si>
  <si>
    <t>De la lista desplegable, indicar el proyecto de inversión al cual se asocia el indicador.</t>
  </si>
  <si>
    <t>De la lista desplegable, indicar el objetivo al cual se asocia el indicador.</t>
  </si>
  <si>
    <t>De la lista desplegable, indicar el proceso al cual se asocia el indicador.</t>
  </si>
  <si>
    <t>De la lista desplegable, indicar la meta del  proceso a la cual se asocia el indicador.</t>
  </si>
  <si>
    <t>Escriba el nombre del indicador.</t>
  </si>
  <si>
    <t>Escriba el objetivo del indicador.</t>
  </si>
  <si>
    <t>Defina las variables que conforman el indicador.</t>
  </si>
  <si>
    <t>Escriba la meta del indicador en la vigencia.</t>
  </si>
  <si>
    <t>En esta casilla se registra el porcentaje de cumplimiento de cada uno de los indicadores frente a la meta programada en la vigencia.</t>
  </si>
  <si>
    <t>19. Porcentaje de Cumplimiento Meta Vigencia</t>
  </si>
  <si>
    <t xml:space="preserve">17. Ejecución Trimestral Vigencia </t>
  </si>
  <si>
    <t>15. Línea Base</t>
  </si>
  <si>
    <t>12. Tipo de Indicador</t>
  </si>
  <si>
    <t xml:space="preserve">11. Variables del Indicador  </t>
  </si>
  <si>
    <t>10. Objetivo del Indicador</t>
  </si>
  <si>
    <t xml:space="preserve">9. Nombre del Indicador </t>
  </si>
  <si>
    <t>8. Código Indicador</t>
  </si>
  <si>
    <t>5. Objetivo Estratégico y del Sistema de Gestión IDT</t>
  </si>
  <si>
    <t xml:space="preserve">4. Proyecto de Inversión IDT </t>
  </si>
  <si>
    <t xml:space="preserve">2. Proyecto Estratégico PDD </t>
  </si>
  <si>
    <t xml:space="preserve">1. Eje Transversal PDD/Programa </t>
  </si>
  <si>
    <t>INSTRUCTIVO DILIGENCIAMIENTO</t>
  </si>
  <si>
    <t>Descripción</t>
  </si>
  <si>
    <t>Item</t>
  </si>
  <si>
    <r>
      <rPr>
        <b/>
        <sz val="10"/>
        <rFont val="Arial"/>
        <family val="2"/>
      </rPr>
      <t>Eje Transversal:</t>
    </r>
    <r>
      <rPr>
        <sz val="10"/>
        <rFont val="Arial"/>
        <family val="2"/>
      </rPr>
      <t xml:space="preserve">
Gobierno Legítimo, fortalecimiento local y eficiencia.
</t>
    </r>
    <r>
      <rPr>
        <b/>
        <sz val="10"/>
        <rFont val="Arial"/>
        <family val="2"/>
      </rPr>
      <t>Programa:</t>
    </r>
    <r>
      <rPr>
        <sz val="10"/>
        <rFont val="Arial"/>
        <family val="2"/>
      </rPr>
      <t xml:space="preserve">
Transparencia, gestión pública y servicio a la ciudadanía </t>
    </r>
  </si>
  <si>
    <r>
      <rPr>
        <b/>
        <sz val="10"/>
        <rFont val="Arial"/>
        <family val="2"/>
      </rPr>
      <t>Eje Transversal:</t>
    </r>
    <r>
      <rPr>
        <sz val="10"/>
        <rFont val="Arial"/>
        <family val="2"/>
      </rPr>
      <t xml:space="preserve">
Desarrollo Económico basado en el conocimiento
</t>
    </r>
    <r>
      <rPr>
        <b/>
        <sz val="10"/>
        <rFont val="Arial"/>
        <family val="2"/>
      </rPr>
      <t>Programa:</t>
    </r>
    <r>
      <rPr>
        <sz val="10"/>
        <rFont val="Arial"/>
        <family val="2"/>
      </rPr>
      <t xml:space="preserve">
Consolidar el turismo como factor de desarrollo, confianza y felicidad  para Bogotá Región</t>
    </r>
  </si>
  <si>
    <t>174. Fortalecimiento de la red distrital de información turística</t>
  </si>
  <si>
    <t>176. Posicionamiento de Bogotá como destino turístico</t>
  </si>
  <si>
    <t>185. Fortalecimientoa la gestion publica efectiva y eficiente</t>
  </si>
  <si>
    <t>175. Fortalecimiento de los productos turísticos y de la cadena de valor del turismo de Bogotá</t>
  </si>
  <si>
    <t>173. Bogotá recupera sus atractivos para un mejor turismo</t>
  </si>
  <si>
    <t>De la lista desplegable, indicar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ciudadania  o las partes interesadas.</t>
  </si>
  <si>
    <t>De la lista desplegable, indicar la periodicidad con la cual se realiza la medición del indicador.</t>
  </si>
  <si>
    <t>Escriba la unidad de medida con la cual se mide el indicador (Ej. Número, Porcentaje, etc.)</t>
  </si>
  <si>
    <t>Escriba el resultado del indicador en el cierrre de la vigencia anterior.</t>
  </si>
  <si>
    <t>No aplica</t>
  </si>
  <si>
    <t>En esta casilla se reporta el resultado acumulado del indicador en lo corrido de la vigencia evaluada (se debe tener en cuenta los resultados reportados en los trimestres anteriores ya evaluados).</t>
  </si>
  <si>
    <t>Reporte el avance del indicadores en el  trimestre evaluado.</t>
  </si>
  <si>
    <t>Escriba el código que identifica el indicador (este código lo asigna la Oficina Asesora de Planeación, una vez sea aprobado el indicador)</t>
  </si>
  <si>
    <t>Medir el grado de cumplimiento en la ejecución de  las reservas presupuestales</t>
  </si>
  <si>
    <t>Control y estabilización del PAC no ejecutado</t>
  </si>
  <si>
    <t>Medir el grado de cumplimiento en la ejecución del presupuesto de funcionamiento</t>
  </si>
  <si>
    <t>(Presupuesto de funcionamiento comprometido/Presupuesto de funcionamiento apropiado)x100</t>
  </si>
  <si>
    <t>Realizar seguimiento al cumplimiento de la ejecución del PAC de acuerdo a su programación, con el fin de generar las alertas correspondientes</t>
  </si>
  <si>
    <t>(Valor PAC no ejecutado/Valor del presupuesto programado en PAC)*100</t>
  </si>
  <si>
    <t>Transferencias Documentales</t>
  </si>
  <si>
    <t>(Número de procesos con transferencia documental realizada/Total procesos IDT)*100</t>
  </si>
  <si>
    <t>Oportunidad respuesta PQRS</t>
  </si>
  <si>
    <t xml:space="preserve">Cumplimiento de los términos procesales </t>
  </si>
  <si>
    <t>Ejercer el control disciplinario respetando el debido proceso, las garantías procesales consagrados en la Constitución Política y los términos establecidos en la Ley 734 de 2002.</t>
  </si>
  <si>
    <t>Ejecución Plan  Institucional de Bienestar</t>
  </si>
  <si>
    <t>Medir el nivel de cumplimiento de la programación de actividades de bienestar social de la vigencia, establecidas en el Plan Institucional, propuesto de acuerdo con los requerimientos de los funcionarios.</t>
  </si>
  <si>
    <t>(Número de Actividades Realizadas/Total de Actividades Programadas)*100</t>
  </si>
  <si>
    <t>Ejecución Plan Institucional de Capacitación</t>
  </si>
  <si>
    <t>Medir el nivel de cumplimiento de la programación de actividades de formación de la vigencia, establecidas en el Plan Institucional de capacitación, propuesto de acuerdo con los requerimientos de capacitación grupales e individuales identificados.</t>
  </si>
  <si>
    <t>(Número de capacitaciones Realizadas/Total de Capacitaciones Programadas )*100</t>
  </si>
  <si>
    <t>Ejecución Plan de Seguridad y Salud en el Trabajo</t>
  </si>
  <si>
    <t xml:space="preserve">Medir el cumplimiento de la programación de actividades de seguridad y salud en el trabajo de la vigencia, establecidas en el Plan Institucional, propuesto de acuerdo con las necesidades de los funcionarios. </t>
  </si>
  <si>
    <t>(Numero de Actividades Realizadas/Total de Actividades Programadas)*100</t>
  </si>
  <si>
    <t xml:space="preserve">Porcentaje satisfacción del cliente interno frente a los programas de bienestar, capacitación y SG-SST </t>
  </si>
  <si>
    <t xml:space="preserve">Medir el grado de satisfacción del cliente interno del IDT frente a las actividades desarrolladas dentro de los planes de trabajo de bienestar, capacitación y SG-SST.. </t>
  </si>
  <si>
    <t>(Número de Funcionarios Internos Satisfechos/Total de Funcionarios Internos Encuestados)*100</t>
  </si>
  <si>
    <t>Eficacia en el proceso de administración de nómina</t>
  </si>
  <si>
    <t>Medir el grado de ejecución de la Administración de nómina, frente a las novedades presentadas por el servidor del IDT.</t>
  </si>
  <si>
    <t>(Número de Novedades Tramitadas/Total de Novedades Presentadas)*100</t>
  </si>
  <si>
    <t>Oportunidad de entrega de elementos de consumo y consumo controlado.</t>
  </si>
  <si>
    <t>Hacer seguimiento a la oportunidad en la entrega de elementos de consumo y consumo controlado.</t>
  </si>
  <si>
    <t>Medir el nivel de cumplimiento en la atención de las solicitudes de mantenimiento de la infraestructura física del IDT, con el fin de garantizar unas instalaciones en condiciones óptimas.</t>
  </si>
  <si>
    <t>(Número Solicitudes de mantenimiento Atendidas/Total solicitudes de mantenimiento requeridas en el IDT)*100</t>
  </si>
  <si>
    <t xml:space="preserve">Número de actividades de promoción y posicionamiento turístico </t>
  </si>
  <si>
    <t>Cuantificar las actividades de promoción y posicionamiento turístico que realiza o en las que participa el IDT;  tales como ferias estratégicas, viajes de familiarización para agentes de viajes y periodistas, Workshop, apoyo a eventos, activaciones, entre otras actividades que permitan la promoción de ciudad.</t>
  </si>
  <si>
    <t xml:space="preserve">Sumatoria número de actividades de promoción y posicionamiento turístico </t>
  </si>
  <si>
    <t>Número de personas atendidas a través de la red de información turística</t>
  </si>
  <si>
    <t xml:space="preserve">Cuantificar el número de personas atendidas a través de la red de información turística, midiendo el nivel de demanda de información turística en la red de información. </t>
  </si>
  <si>
    <t>Sumatoria número de personas atendidas a través de la red de información turística</t>
  </si>
  <si>
    <t>Nivel de Satisfacción beneficiarios actividades Gestión de Destino</t>
  </si>
  <si>
    <t>Medir el  nivel de satisfacción de los prestadores de servicios turísticos, taxistas, beneficiarios programa amigos del turismo y población en general, frente a las actividades desarrolladas por el área de Gestión de Destino en temas de: Cultura Turística, Fortalecimiento Empresarial, Gestión Local, Producto Turístico e Infraestructura.</t>
  </si>
  <si>
    <t>(Promedio calificaciones encuestas de satisfacción por proceso /Meta vigencia)*100</t>
  </si>
  <si>
    <t>Uso eficiente de la energía</t>
  </si>
  <si>
    <t>Consumo de energía en el periodo (KW/persona*mes) /No. de servidores en el periodo</t>
  </si>
  <si>
    <t>Oportunidad en la ejecución presupuestal de inversión</t>
  </si>
  <si>
    <t>Cumplimiento Objetivos Estratégicos</t>
  </si>
  <si>
    <t>(Promedio cumplimiento de las metas asociadas a los Objetivos Estratégicos/Promedio metas programadas asociadas a los Objetivos Estratégicos)*100</t>
  </si>
  <si>
    <t>Cumplimiento del PDD</t>
  </si>
  <si>
    <t>Determinar el avance de los compromisos del IDT en el PDD, a partir de la ejecución de las metas asociadas, con el fin de evaluar su cumplimiento.</t>
  </si>
  <si>
    <t>Promedio de cumplimiento de las metas PDD del IDT / Promedio de las metas PDD programadas</t>
  </si>
  <si>
    <t>Uso eficiente del agua</t>
  </si>
  <si>
    <t>Consumo de agua en el periodo (m3) /No. De servidores en el periodo</t>
  </si>
  <si>
    <t>Gestión Integral de Residuos</t>
  </si>
  <si>
    <t>DE-I01</t>
  </si>
  <si>
    <t>DE-I02</t>
  </si>
  <si>
    <t>DE-I03</t>
  </si>
  <si>
    <t>DE-I04</t>
  </si>
  <si>
    <t>DE-I05</t>
  </si>
  <si>
    <t>DE-I06</t>
  </si>
  <si>
    <t>GD-I01</t>
  </si>
  <si>
    <t>TH-I01</t>
  </si>
  <si>
    <t>TH-I02</t>
  </si>
  <si>
    <t>TH-I03</t>
  </si>
  <si>
    <t>TH-I04</t>
  </si>
  <si>
    <t>TH-I05</t>
  </si>
  <si>
    <t>GF-I02</t>
  </si>
  <si>
    <t>GF-I03</t>
  </si>
  <si>
    <t>GF-I04</t>
  </si>
  <si>
    <t>DCS-I04</t>
  </si>
  <si>
    <t>DCS-I06</t>
  </si>
  <si>
    <t>PMT-I01</t>
  </si>
  <si>
    <t>PMT-I02</t>
  </si>
  <si>
    <t>PMT-I03</t>
  </si>
  <si>
    <t>GB-I02</t>
  </si>
  <si>
    <t>GB-I03</t>
  </si>
  <si>
    <t>SIT-I01</t>
  </si>
  <si>
    <t>AC-I01</t>
  </si>
  <si>
    <t>CD-I01</t>
  </si>
  <si>
    <t>Implementar y mantener 80% el sistema integrado de gestión de la entidad</t>
  </si>
  <si>
    <t>Lograr una ejecución presupuestal de inversión a nivel de compromisos, superior al 96% al cierre de la vigencia fiscal.</t>
  </si>
  <si>
    <t>Capacitar 20.000 prestadores de servicios turísticos y conexos, en cultura turística</t>
  </si>
  <si>
    <t>Bimensual</t>
  </si>
  <si>
    <t xml:space="preserve">Jefe Oficina Asesora de Planeación </t>
  </si>
  <si>
    <t>G.D. Implementar y mantener 80% el sistema integrado de consevación</t>
  </si>
  <si>
    <t>Sumatoria número de  prestadores de servicios turísticos y conexos, capacitados en cultura turística</t>
  </si>
  <si>
    <t xml:space="preserve">Eje Transversal:
Gobierno Legítimo, fortalecimiento local y eficiencia.
Programa:
Transparencia, gestión pública y servicio a la ciudadanía </t>
  </si>
  <si>
    <t>Optimizar el recurso energético mediante estrategias y programas ambientales para lograr el uso racional y eficiente de los recursos</t>
  </si>
  <si>
    <t>Optimizar el recurso hídrico mediante estrategias y programas ambientales para lograr el uso racional y eficiente de los recursos</t>
  </si>
  <si>
    <t>KW/persona*mes</t>
  </si>
  <si>
    <t>m3/persona*mes</t>
  </si>
  <si>
    <t>Residuos Gestionados adecuadamente por el IDT / Residuos generados * 100</t>
  </si>
  <si>
    <t>Promover el manejo adecuado de los residuos generados en la entidad con el fin de realizar una Gestión integral de los mismos</t>
  </si>
  <si>
    <t>Porcentaje</t>
  </si>
  <si>
    <t>(Presupuesto de inversión comprometido en los tiempos establecidos/presupuesto de inversión programado)*100</t>
  </si>
  <si>
    <t>Eje Transversal:
Desarrollo Económico basado en el conocimiento
Programa:
Consolidar el turismo como factor de desarrollo, confianza y felicidad  para Bogotá Región</t>
  </si>
  <si>
    <t>Número</t>
  </si>
  <si>
    <t xml:space="preserve"> &lt; 0,95 </t>
  </si>
  <si>
    <t xml:space="preserve"> &lt; 49,6 </t>
  </si>
  <si>
    <t>(Promedio calificaciones encuestas de satisfacción/Meta vigencia)*100</t>
  </si>
  <si>
    <t>Nivel de satisfacción usuarios  Red de Información Turística.</t>
  </si>
  <si>
    <t>Menor o igual 11.3%</t>
  </si>
  <si>
    <t>Eficiencia en la Elaboración de Contratos</t>
  </si>
  <si>
    <t>(Número de contratos o convenios  elaborados con RP / Total de solicitudes de elaboración de contratos o convenios radicados)*100</t>
  </si>
  <si>
    <t>JC-I01</t>
  </si>
  <si>
    <t>JC-I02</t>
  </si>
  <si>
    <t>Todos los asociados a los proyectos de inversión 0988 - 1036</t>
  </si>
  <si>
    <t>Aumentar 13% el número de viajeros extranjeros que visitan Bogotá</t>
  </si>
  <si>
    <t>1036 Bogotá destino turístico competitivo y sostenible
988 Turismo como generador de desarrollo, confianza y felicidad para todos</t>
  </si>
  <si>
    <t>Conocer el nivel de satisfacción de los usuarios frente los servicios  ofrecidos en la Red de Información Turística.</t>
  </si>
  <si>
    <t>Cumplimiento ejecución Reservas Presupuestales</t>
  </si>
  <si>
    <t>Cumplimiento ejecución presupuesto funcionamiento</t>
  </si>
  <si>
    <t>Realizar el seguimiento a la oportunidad en la elaboración de los contratos o convenios desde la etapa precontractual hasta su perfeccionamiento.</t>
  </si>
  <si>
    <t>Eficiencia en la liquidación de contratos</t>
  </si>
  <si>
    <t xml:space="preserve">Nivel de Satisfacción usuarios Soporte Técnico </t>
  </si>
  <si>
    <t>Medir el nivel de satisfacción de los usuarios frente al servicio de soporte técnico realizado por el área de sistemas de la entidad</t>
  </si>
  <si>
    <t>185. Fortalecimiento la gestión publica efectiva y eficiente</t>
  </si>
  <si>
    <t>Dar trámite al 100% de los procesos disciplinarios que requieran actuación procesal, de conformidad  con la Ley 734 de 2002.</t>
  </si>
  <si>
    <t>(Número de expedientes tramitados dentro de los términos legales/Número de expedientes tramitados dentro de los términos legales)*100</t>
  </si>
  <si>
    <t xml:space="preserve">Medir la oportunidad en la ejecución del presupuesto de inversión, a través del seguimiento a los recursos comprometidos en el Plan Anual de Adquisiciones, con el fin de evaluar la eficiencia en su ejecución. </t>
  </si>
  <si>
    <t>Realizar seguimiento al  cumplimiento de  los objetivos estratégicos de la entidad teniendo en cuenta la ejecución de sus metas asociadas, con el fin establecer la efectividad de la Planeación Estratégica  y generar las alertas correspondientes.</t>
  </si>
  <si>
    <t>Número de prestadores servicios turísticos y conexos, capacitados en cultura turística</t>
  </si>
  <si>
    <t xml:space="preserve">Capacitar en cultura turística a los prestadores de servicios turísticos, universidades, colegios del programa amigos del turismo y  empresas de taxis de la ciudad, con el fin de generar conciencia por parte de los mismos y ofrecer mejores servicios a los turistas, siempre mostrando lo mejor de su ciudad. </t>
  </si>
  <si>
    <t>(Número de solicitudes atendidas oportunamente/ Total de solicitudes recibidas en el almacén)*100</t>
  </si>
  <si>
    <t>Porcentaje solicitudes de mantenimiento de infraestructura  física atendidas</t>
  </si>
  <si>
    <t>Medir la eficiencia en la liquidación de contratos teniendo en cuenta las solicitudes radicadas  en la Oficina Asesora Jurídica</t>
  </si>
  <si>
    <t>(Número de contratos liquidados / Total de solicitudes de liquidación  radicadas en la Oficina Asesora Jurídica)*100</t>
  </si>
  <si>
    <t>Medir el cumplimiento en  las transferencias documentales por parte de los procesos de la entidad, de forma adecuada y correcta para la aceptación del archivo central.</t>
  </si>
  <si>
    <t>(Número de soportes técnicos atendidos satisfactoriamente/Total de soportes técnicos atendidos)*100</t>
  </si>
  <si>
    <t xml:space="preserve">Medir la oportunidad en los tiempos de respuestas de las PQRS radicadas en la Entidad, con el fin de mejorar el nivel de satisfacción de los ciudadanos frente a la atención oportuna de sus PQRS. </t>
  </si>
  <si>
    <t>(Número de PQRS con respuesta en términos de ley/Total de PQRS radicadas en la entidad)*100</t>
  </si>
  <si>
    <t>​(Valor pagos reservas/Valor total de reservas del periodo)*100​</t>
  </si>
  <si>
    <t xml:space="preserve">No. de procesos contestados / No. de procesos notificados *100 </t>
  </si>
  <si>
    <t xml:space="preserve">Medir la oportuna y legal atención a las demandas notificadas por las autoridades judiciales </t>
  </si>
  <si>
    <t>Daño antijuridico</t>
  </si>
  <si>
    <t>Gestionar el 100% del plan de adecuación y sostenibilidad SIG-MIPG</t>
  </si>
  <si>
    <t xml:space="preserve">Solicitudes  de comunicación interna atendidas a tiempo </t>
  </si>
  <si>
    <t>Medir el grado de cumplimiento de las solicitudes requeridas al proceso de Comunicaciones por las diferentes áres del Instituto Distrital de Turismo</t>
  </si>
  <si>
    <t xml:space="preserve">No. De solicitudes atendidas a tiempo / No. De solicitudes sujetas de ejecución </t>
  </si>
  <si>
    <t xml:space="preserve">% de crecimiento en las redes sociales institucionales del Instituto Distrital de Turismo </t>
  </si>
  <si>
    <t xml:space="preserve">Medir el impacto de las publicaciones sobre la gestión de la entidad que se realizan a través de las redes sociales </t>
  </si>
  <si>
    <t># de seguidores actuales al corte del trimestre - # de seguidores iniciales / # de seguidores iniciales</t>
  </si>
  <si>
    <t>DE-I09-V1</t>
  </si>
  <si>
    <t>Porcentaje de avance en la implementación del plan de adecuación y sostenibilidad SIG-MIPG</t>
  </si>
  <si>
    <t xml:space="preserve">Determinar el avance en la ejecución del  porcentaje de implementación de los productos asociados al Modelo Integado de Planeación y Gestión  (MIPG), de los procesos del IDTpara la vigencia 2019.
 </t>
  </si>
  <si>
    <t>(Promedio ponderado de avance de las actividades realizadas del plan de adecuación y sostenibilidad SIG-MIPG del IDT / Promedio ponderado de las actividades programadas en el plan de adecuación y sostenibilidad SIG-MIPG del IDT) * 100</t>
  </si>
  <si>
    <t>CO-I02</t>
  </si>
  <si>
    <t>CO-I01</t>
  </si>
  <si>
    <t>DE-I08</t>
  </si>
  <si>
    <t xml:space="preserve">Cumplimiento en el Plan de Paritcipación Ciudadana </t>
  </si>
  <si>
    <t xml:space="preserve">(No. de eventos de participación y control social realizados / No. de eventos de participación y control social programados) *100 </t>
  </si>
  <si>
    <t>JC-I03</t>
  </si>
  <si>
    <t>EI-105</t>
  </si>
  <si>
    <t>Tiempo definido dentro del procedimiento para la elaboracion de los planes de mejoramiento / tiempo real del envió del plan de mejoramiento, con los  parametros establecidos dentro del procedimeitno  EI -P06 Planes de Mejoramiento y su  correspondiente análisis de causa.</t>
  </si>
  <si>
    <t>Eficacia en el cierre de las  de acciones Direccionamiento Estratégico</t>
  </si>
  <si>
    <t xml:space="preserve">Medir el grado de cumplimiento de los procesos en la ejecución de cierre de las acciones que contribuyan al mejoramiento de la Entidad 
</t>
  </si>
  <si>
    <t>(Acciones correctivas, preventivas y/o de mejora cerradas) / (Acciones correctivas, preventivas y/o de mejora programadas para evaluar en el periodo)*100%</t>
  </si>
  <si>
    <t xml:space="preserve">Medir el grado de cumplimiento de los procesos en la ejecución de cierre de las acciones que contribuyan al mejoramiento de la Entidad </t>
  </si>
  <si>
    <t>Cumplimiento en la elaboración de Planes de Mejoramiento Gestión de Destino Competitivo y Sostenible</t>
  </si>
  <si>
    <t>Medir el grado de oportunidad en la remisión  de los planes de mejoramiento totalmente diligenciados por parte de  los  responsables de los procesos, una vez  realizados los ejercicios de auditoría, seguimiento y evaluación.</t>
  </si>
  <si>
    <t>Eficacia en el cierre de las  de acciones Promoción y Mercadeo</t>
  </si>
  <si>
    <t>Realizar 412 actividades en cumplimiento de los roles de las Oficinas de Control Interno y  de acuerdo a lo establecido en el programa anual de auditorias aprobado por el Comité Coordinador de Control Interno.</t>
  </si>
  <si>
    <t>Eficacia en el cierre de las  de acciones Talento Humano</t>
  </si>
  <si>
    <t>Eficacia en el cierre de las  de acciones de Gestión de Bienes y Servicios.</t>
  </si>
  <si>
    <t xml:space="preserve">Eficacia en el cierre de las  de acciones Gestión Tecnólogica </t>
  </si>
  <si>
    <t>Eficacia en el cierre de las  de acciones de Atención al Ciudadano</t>
  </si>
  <si>
    <t>Eficacia en el cierre de las  de acciones de Control Interno Disciplinario</t>
  </si>
  <si>
    <t>Tiempo definido dentro del procedimiento para la elaboración de los planes de mejoramiento / tiempo real del envió del plan de mejoramiento, con los  parámetros establecidos dentro del procedimiento  EI -P06 Planes de Mejoramiento y su  correspondiente análisis de causa.</t>
  </si>
  <si>
    <t>Eficacia en el cierre de las  de acciones Gestión Jurídica y Contractual</t>
  </si>
  <si>
    <t>Observaciones</t>
  </si>
  <si>
    <t>AC-I04</t>
  </si>
  <si>
    <t xml:space="preserve">Medir el nivel de satisfacción de los ciudadanos frente a la atención opotuna de sus PQRSD, mes vencido. </t>
  </si>
  <si>
    <t>(Promedio calificaciones encuestas de satisfacción PQRS /Total de las Encuentas de PQRS diligenciadas en la Entidad )*100</t>
  </si>
  <si>
    <t>numero</t>
  </si>
  <si>
    <t xml:space="preserve">Ausentismo Laboral </t>
  </si>
  <si>
    <t>Medir los reportes de ausentismo  relacionadas con enfermedad general de los  servidores públicos, planta y contratistas.(personal natural).</t>
  </si>
  <si>
    <t xml:space="preserve"> ( Número de días de ausencia por incapacidad laboral /Número de trabajadores en el mes ) * 100 Porcentaje</t>
  </si>
  <si>
    <t xml:space="preserve"> &lt; 10%</t>
  </si>
  <si>
    <t>TH-I12</t>
  </si>
  <si>
    <t>TH-I07</t>
  </si>
  <si>
    <t>Frecuencia de Accidentalidad en el IDT</t>
  </si>
  <si>
    <t>Medir el número de accidentes de trabajo con lesiones incapacitantes para establecer acciones de mitigación del riesgo de origen de AT.</t>
  </si>
  <si>
    <t>(Número de Accidentes de Trabajo que se presentaron en el mes / Número de trabajadores en el mes) *100 Trabajadores</t>
  </si>
  <si>
    <t>unidad</t>
  </si>
  <si>
    <t>TH-I08</t>
  </si>
  <si>
    <t>Severidad de los Accidentes de Trabajo</t>
  </si>
  <si>
    <t>Calificación de origen de AT - Información de ausentismo - Información de personal propio, contratistas persona natural y jurídica, en misión y demás partes interesadas del sistema.</t>
  </si>
  <si>
    <t xml:space="preserve"> (Número de días de incapacidad  / Número de trabajadores en el mes) * 100 Porcentaje</t>
  </si>
  <si>
    <t xml:space="preserve">Eficacia en el cierre de las  de acciones Evaluación institucional </t>
  </si>
  <si>
    <t>Eficacia en el cierre de las  de acciones Gstión información  turistica</t>
  </si>
  <si>
    <t>Eficacia en el cierre de las  de acciones Destino Competitivo y Sostenible</t>
  </si>
  <si>
    <t>PROGRAMACION MATRIZ  DE INDICADORES DE GESTION 2020</t>
  </si>
  <si>
    <t>16. Meta 
Vigencia
2020</t>
  </si>
  <si>
    <t>ENERO</t>
  </si>
  <si>
    <t xml:space="preserve">FEBRERO </t>
  </si>
  <si>
    <t xml:space="preserve">MARZO </t>
  </si>
  <si>
    <t>Nivel de Satisfacción de las respuestas PQRSD</t>
  </si>
  <si>
    <t>N.A,</t>
  </si>
  <si>
    <t>_</t>
  </si>
  <si>
    <t>CRECIMIENTO EN REDES</t>
  </si>
  <si>
    <t>MARZO</t>
  </si>
  <si>
    <t>JUN</t>
  </si>
  <si>
    <t>SEP</t>
  </si>
  <si>
    <t>DIC</t>
  </si>
  <si>
    <t>vf-vi/vi</t>
  </si>
  <si>
    <t>linea base</t>
  </si>
  <si>
    <t>medi marzo</t>
  </si>
  <si>
    <t>CUMPLIMIENTO VERSUS META</t>
  </si>
  <si>
    <t>N.A</t>
  </si>
  <si>
    <t>1er . trimestre:  
* El informe final de la auditoría derivado de la evaluación por dependencias de la vigencia 2019, fue recibido por el proceso de Gestión de Destino el día 31 de enero de 2020 y el respectivo plan de mejoramiento diligenciado y  su  correspondiente análisis de causa,  fue remititido el día 10 de febrero   a la Asesoria de Control Interno; por lo anterior se cuenta con una oportunidad del 70%.</t>
  </si>
  <si>
    <t>De las 8 acciones programadas a evaluar la eficacia y efectividad durante el primer trimestre de la vigencia 2020,  se cerrarón 8; lo que obedece a un cumplimiento del 100%. 
El detalle de  este seguimiento se encuentra publicado en la Intranet, en el Sistema Integrado de Gestión "Planes de Mejoramiento 2020"   link http://intranet.bogotaturismo.gov.co/node/700</t>
  </si>
  <si>
    <t>De las 3 acciones programadas a evaluar la eficacia y efectividad durante el primer trimestre de la vigencia 2020,  se cerraron 3 acciones; lo que arroja un cumplimiento del 100%.  
El detalle de  este seguimiento se encuentra publicado en la Intranet, en el Sistema Integrado de Gestión "Planes de Mejoramiento 2020"   link http://intranet.bogotaturismo.gov.co/node/700</t>
  </si>
  <si>
    <t xml:space="preserve">Eficacia en el cierre de las  de acciones de Gestión Documental </t>
  </si>
  <si>
    <t>Eficacia en el cierre de las  de acciones Talento Humano SG-SST</t>
  </si>
  <si>
    <t>Bimestral</t>
  </si>
  <si>
    <t>Para el primer trimestre del año, se evidenció un avance del 95% de la meta, cumpliendo con lo programado; por lo cual podemos mencionar el avance así:
MIPG
Apoyo realizado a los diez (10) procesos del IDT para que formularan el plan de MIPG 2020.
En el proceso de formulación del Plan de Desarrollo, la entidad ha participado y aportado en las mesas de trabajo lideradas por la Secretaría de Desarrollo Económico, la Secretaría Distrital de Planeación y la Alcaldía Mayor, llegando a consolidar la propuesta para turismo, enmarcada en 3 propósitos del Plan de Desarrollo,  para aportar a 3 logros de ciudad y 3 programas del plan, con 11 metas Plan de Desarrollo y un presupuesto para el cuatrienio, de $100.140 millones de pesos.
Durante el mes de marzo se llevaron a cabo reuniones virtuales con cada uno de los procesos para realizar la actualización de los riesgos tanto de gestión como de corrupción.
PIGA
Frente a las actividades contempladas en PIGA, se apoyó la actividad "Día Sin Carro", realizada el día 6 de febrero.
Para el mes de marzo de adelantó la socialización de las generalidades del Sistema de Gestión Ambiental a través de un video publicado en las redes sociales de la entidad y en el Info al Día; el día 27 de marzo se adelantó el taller virtual sobre residuo sólidos contando con la participación de 57 colaboradores del IDT; se registraron los consumos de agua, energía, residuos orgánicos y residuos reciclables.
Se presentan retrasos en dos actividades específicamente: Construcción de manera sectorial del PETI y del Manual de políticas para uso de TIC y de seguridad de TI, para lo cual se reprogramará la meta para el mes de Junio.</t>
  </si>
  <si>
    <t xml:space="preserve">Direccionamiento Estrategico </t>
  </si>
  <si>
    <t xml:space="preserve">Procedimiento </t>
  </si>
  <si>
    <t xml:space="preserve">Comunicaciones </t>
  </si>
  <si>
    <t xml:space="preserve">Gestión de Información turística </t>
  </si>
  <si>
    <t xml:space="preserve">Gestión de Destino Competitivo </t>
  </si>
  <si>
    <t xml:space="preserve">Promoción y Mercadeo </t>
  </si>
  <si>
    <t xml:space="preserve">Gestión de talento humano </t>
  </si>
  <si>
    <t xml:space="preserve">Gestión de Bienes y Servicios </t>
  </si>
  <si>
    <t xml:space="preserve">Gestion Financiera </t>
  </si>
  <si>
    <t xml:space="preserve">Gestión Juridica y Contractual </t>
  </si>
  <si>
    <t xml:space="preserve">Gestón Documental </t>
  </si>
  <si>
    <t xml:space="preserve">Atención al Ciudadano </t>
  </si>
  <si>
    <t xml:space="preserve">Evaluación Institucional </t>
  </si>
  <si>
    <t xml:space="preserve">Gestión Tecnológica </t>
  </si>
  <si>
    <t>Control Interno Disciplinario</t>
  </si>
  <si>
    <t xml:space="preserve">TABLERO DE CUMPLIMIENTO </t>
  </si>
  <si>
    <t xml:space="preserve">Cumplimiento I Trimestre  </t>
  </si>
  <si>
    <t>ABRIL</t>
  </si>
  <si>
    <t>MAYO</t>
  </si>
  <si>
    <t>JUNIO</t>
  </si>
  <si>
    <t xml:space="preserve">Durante el periodo reportado se evidencia que estamos dentro la meta de cumplimiento, lo cual indica que las acciones de ahorro implementada en la entidad estan siendo efectivas.Para el segundo bimestre es importante informar que debido a las medidas adoptadas por el Gobierno Nacional y la Alcaldía Mayor de Bogotá frente a la declaratoria de emergencia por el COVID_19, se dío inicio a la cuarentena  a mediados del mes de marzo, por lo tanto para los meses de  abril y mayo se registra a pesar del cierre de la entidad el consumo registrado responde a el uso de equipos de computo con acceso remoto. </t>
  </si>
  <si>
    <t>EI-102</t>
  </si>
  <si>
    <t>Cumplimiento Plan Anual de Auditorias</t>
  </si>
  <si>
    <t>ACUMULADO PRIMER SEMESTRE</t>
  </si>
  <si>
    <t>De acuerdo a los datos arrojados para los meses de enero y febrero se mantiene un consumo percapital por debajo de la meta establecida teniendo en cuenta el número de personas vinculadas a la entidad, lo cual indica que las acciones de ahorro que se vienen adelantando son eficaces; sin embargo, se debe propender por el cambio de los lavamanos por sistemas ahorradores. Para el segundo bimestre es importante informar que debido a las medidas adoptadas por el Gobierno Nacional y la Alcaldía Mayor de Bogotá frente a la declaratoria de emergencia por el COVID_19, se dío inicio a la cuarentena  a mediados del mes de marzo, por lo tanto para los meses de  abril y mayo se registra una baja en el consumo debido al cierre de la entidad.</t>
  </si>
  <si>
    <t xml:space="preserve">En el primer cuatrimestre de 2020 el área de Sistemas de la entidad atendió 479 soportes técnicos. Este informe se realiza con corte
al 30 de abril calculando así 12 meses al aire, sin ninguna falla hasta la fecha. Recibiendo un total de 1759 soportes atendidos satisfactoriamente.
El indicador registra un 100% de cumplimiento.  El área de sistemass atiende todas las solicitudes de soporte de los usuarios, salvo aquellas que esté fuera de la responsabilidad del equipo TIC.  
En el Segundo trimestre de 2020 el área de Sistemas de la entidad atendió 286 soportes técnicos. Este informe se realiza con corte
al 30 de Junio. Calculando así 6 meses de lo corrido de este año, la herramienta MANTIS no presento ninguna falla hasta la fecha. Recibiendo un total de 663 soportes atendidos satisfactoriamente.
El indicador registra un 100% de cumplimiento.  El área de sistemass atiende todas las solicitudes de soporte de los usuarios, salvo aquellas que esté fuera de la responsabilidad del equipo TIC. </t>
  </si>
  <si>
    <t>ENERO: Seguimiento Plan Anticorrupción y de Atención al Ciudadano - PAAC, publicado el 13 enero 2020 en la pagina web de la entidad y radicado mediante cordis 20201E49 el 16/01/2020. - Evaluación de la Gestión por Dependencias a 13 procesos de la entidad radicado N° 20201E143 de fecha 31/01/2020. - Informe Pormenorizado del estado de control interno,  publicado el 13 enero 2020 en la pagina web de la entidad, Periodo 01/11/2019 al 31/12/2019 y radicado No 2020IE132 del 30/01/2020- Informe seguimiento Peticiones, Quejas, Reclamos, Sugerencias y Denuncias periodo de julio a diciembre 2019, radicado No 20201IE133 de fecha 30/01/2020.- Elaboración Plan Anual de Auditoria- PAA y matriz de priorización de auditorias, presentación a Comité Institucional de Coordinación de Control Interno el 27 enero de 2020 según Acta No 001 de 2020. - Iinforme semestral de seguimiento a los instrumentos técnicos y administrativos del Sistema de Control Interno, radicado No 2020IE152 del 31/01/2020. -  Seguimiento a la gestión y avances en la implementación de los lineamientos para la implementación del nuevo marco normativo de regulación contable, radicado No 2020IE46 de fecha 16/01/2020. - Informe de seguimiento y recomendaciones orientadas al cumplimiento de las metas del Plan de Desarrollo a cargo de la Entidad IV Trimestre 2019, radicado No 2020IE142 de fecha 31/01/2020. -Informe de Gestión Judicial SIPROJ-WEB, radicado No 2020EE48 del 14/01/2020. - Se realizó Comité Institucional de Coordinación de Control Interno el 27 enero de 2020 según Acta No 001 de 2020. - Transmisión de la cuenta mensual correo de 02/01/2020 deuda publica y certificado de validación del 10/01/2020.* Informe de seguimiento Planes Mejoramiento Dirección Archivo Distrital, radicado No 2020EE60 de fecha 16/1/2020.  - Seguimiento al plan de mejoramiento P.M.I de las acciones con fecha de cumplimiento al 30 enero de 2020. *Informe de seguimiento a los riesgos de gestión de la Entidad, radicado No 2020IE47 de fecha 16/01/2020. - Informe de seguimiento a los riesgos de corrupción de la Entidad, radicado No 2020IE47 de fecha 16/01/2020, *Informe de resultado y matriz de seguimiento cuatrimestral a los mapas de riesgos de corrupción y de gestión remitido mediante correo electronico el 18 de mayo de 2020.  
FEBRERO: 
Informe Control Interno Contable vigencia 2019 el día 28 de febrero a la Contaduria General de la Nación, Bogota Consolida y Sivicof y se envío a la Dirección General con radicado No 2020IE354 del 28/02/2020. * Informe Evaluación Gestión por Dependencias radicado No 2020IE356 del 28/02/2020. * Informe de Austeridad en el Gasto radicado No 2020IE317 O de fecha 25/02/2020 * Se realizó reporte avances de la Gestión - FURAG Vigencia 2019 preguntas febrero - marzo 2020. *Transmisión certificado 30/02/2020 deuda publica y certificado de transmisión cuenta mensual del 17/02/2020. * Transmisión cuenta anual cerificado del  17/02/2020. 
MARZO: 
Se transmitio informe CBN1019 y cuenta mensual según certificado de fecha 10 de marzo 2020 * Se remitió Informe derechos de autor mediante correo electronico el lunes 30 marzo a la Oficina de Planeación y se transmitio Informe de reporte a la Dirección Nacional Derechos de Autor .*Se realizó seguimiento y verificación de la pertinencia o modificación de los riesgos a cargo del proceso en conjunto con la Oficina Asesora de Planeación. 
ABRIL:  
Informe Auditoría Administración de Bienes y Servicios en el IDT, correo electronico el 03 de abril de 2020 a la Subdirección Corporativa.  
+ Informe Auditoria Proceso Gestión de Talento Humano, correo electronico el 13 de abril de 2020 a la Subdirección Corporativa.
+ Informe de Auditoría Especial a la etapa precontractual Contrato de Consultoria No 262 de 2019, remitido el 06 de marzo 2020 con radicado No 2020IE410.  
Informe Austeridad en el Gasto correo electronico el 29 de abril de 2020. *Informe de Seguimiento a la gestión y avances en la implementación de los lineamientos para la implementación del nuevo marco normativo de regulación contable pública correo electronico el 29 de abril de 2020. * Informe de seguimiento al cumplimiento del PAA, correo electronico el 29 abril de 2020. *Informe de seguimiento SIDEAP, correo electronico el 29 de abril de 2020. * Informe de evaluación y seguimiento al cumplimiento de metas que tiene a cargo el IDT, correo electronico el 29 de abril de 2020. * Transmisión formato CBN-1019 y cuenta mensual SIVICOF, con fecha de certificado generado el 07 de abril de 2020. 
MAYO: 
Informe Auditoría Especial a la ejecución del contrato 262 de 2019 remitido mediante correo electronico el 28 de mayo 2020
* Auditoría Participación Ciudadana y Control Social. remitido mediante correo electronico el 27 mayo 2020. 
Informe Seguimiento al Plan Anticorrupción PAAC primer cuatrimestre de 2020, publicado en la Web de la entidad y enviado mediante correo electronico el 18 de junio 2020. *Informe de seguimiento al cumplimiento del PAA, remitido mediante correo electronico el 16 junio de 2020. *Seguimiento al cumplimiento de la Ley Cuotas Partes, Ley 581 de 2000 y Decreto 455 de 2020, remitido por correo electronico el 27 mayo 2020.* Informe Directiva 003 de 2013 “Directrices para prevenir conductas irregulares relacionadas con incumplimiento de los manuales de funciones y de procedimientos y la pérdida de elementos y documentos públicos.” remitido mediante memorando 2020EE593 el 15 mayo 2020.*Comité institucional de Coordianción de Control Interno llevado a cabo el 29 de mayo 2020.*Informe Seguimiento Cumplimiento Ley de Transparencia remitido mediante correo electronico el 27 de mayo de 2020. *Se transmitio informe CBN1019 y cuenta mensual según certificado de fecha 11 de mayo 2020.
JUNIO: 
Se realizó auditoria especial a la Contratación de la Entidad remitida el martes 30 de junio por correo electronico *Se remitio oficio de información a la Personerí y Contraloria de Bogotá el 24 de junio 2020 sobre Informes Posibles Actos de Corrupción * Informe de seguimiento al cumplimiento del PAA, remitido mediante correo electronico el 16 junio de 2020.*Informe Seguimiento de evaluación al fortalecimiento de la transparencia y prevención de la corrupción remitido mediante correo electronico el 17 junio 2020. *Se transmitio cuenta mensual SIVICOF el 11 de junio 2020.*Se realizó seguimeinto a las acciones de mejora del pla institucional las cuales estaban como incumplidas se reporto informe al ente de control el 10 junio 2020.</t>
  </si>
  <si>
    <t xml:space="preserve">Cumplimiento en la elaboración de Planes de Mejoramiento Gestión del Bienes y Servicios </t>
  </si>
  <si>
    <t>(Tiempo definido dentro del procedimiento para la elaboración de los planes de mejoramiento / tiempo real del envió del plan de mejoramiento, con los  parámetros establecidos dentro del procedimiento  EI -P06 Planes de Mejoramiento y su  correspondiente análisis de causa.)</t>
  </si>
  <si>
    <t>2do. trimestre:  
El informe final de la auditoría del SIG,   fue recibido por el proceso el día 3 de abril  del 2020 y el respectivo plan de mejoramiento con los  parametros establecidos dentro del procedimiento  EI -P06 Planes de Mejoramiento y su  correspondiente análisis de causa,  fue remititido el día 23 de abril  a la Asesoria de Control Interno. Es de Aclarar que por parte del líder del proceso se solicito prorroga hasta el día 23 de abril dada  la contingencia por el asilamientto preventivo, lo que imposibilito cumplir en los tiempos definidos;  para los cual la Aseoria  de Control interno, aprobó dicha pertición y por ende  la oportunidad en la entrega del plan de mejoramiento queda dentro del nivel de 100% de cumplimiento.</t>
  </si>
  <si>
    <t xml:space="preserve">Cumplimiento en la elaboración de Planes de Mejoramiento Direccionamiento Estrategico </t>
  </si>
  <si>
    <t>(Tiempo definido dentro del procedimiento para la elaboracion de los planes de mejoramiento / tiempo real del envió del plan de mejoramiento, con los  parametros establecidos dentro del procedimeitno  EI -P06 Planes de Mejoramiento y su  correspondiente análisis de causa.)</t>
  </si>
  <si>
    <t>2do trimestre:
El informe final de la auditoría de Seguimiento a la Ley de Transparencia  1712 de 2014, vigencia 2020 ,   fue recibido por el proceso el día 27 de mayo del 2020 y el respectivo plan de mejoramiento con los  parametros establecidos dentro del procedimiento  EI -P06 Planes de Mejoramiento y su  correspondiente análisis de causa,  fue remititido el día 11 de junio  a la Asesoria de Control Interno, lo que arroja un total de 10 días habiles  para elenvió del respectivo plan, es decir un porcentaje menor  al 70%.</t>
  </si>
  <si>
    <t xml:space="preserve">Cumplimiento en la elaboración de Planes de Mejoramiento Gestión Juridica y Contractual </t>
  </si>
  <si>
    <t>2do trimestre:
El informe final de la Auditoría Proceso de Gestión de Talento Humano-Subdirección de Gestión Corporativa, vigencia 2020 , y referente al SIDEAP  fue recibido por el proceso el día 28 de mayo del 2020 y el respectivo plan de mejoramiento con los  parametros establecidos dentro del procedimiento  EI -P06 Planes de Mejoramiento y su  correspondiente análisis de causa,  fue remititido el día 2 de junio  a la Asesoria de Control Interno, lo que arroja un total de 3 días habiles  para el envió del respectivo plan, es decir un cumplimiento del 100%
El lSeguimientos, evaluaciones o informes realizados por la OCI    fue generado el día 11 de junio  del 2020 y el respectivo plan de mejoramiento con los  parametros establecidos dentro del procedimiento  EI -P06 Planes de Mejoramiento y su  correspondiente análisis de causa,  fue remititido el día 16 de junio  a la Asesoria de Control Interno, lo que arroja un total de 3 días habiles  para el envió del respectivo plan, es decir un cumplimiento del 100%. 
El promedio de los dos indicadores es de 3 días habiles lo que equivale a un 100% de cumplimiento.</t>
  </si>
  <si>
    <t xml:space="preserve">Cumplimiento en la elaboración de Planes de Mejoramiento Talento Humano </t>
  </si>
  <si>
    <t>2do. trimestre:  
El informe final de la auditoría de Gestión ,   fue recibido por el proceso el día 3 de abril  del 2020 y el respectivo plan de mejoramiento con los  parametros establecidos dentro del procedimiento  EI -P06 Planes de Mejoramiento y su  correspondiente análisis de causa,  fue remititido el día 23 de abril  a la Asesoria de Control Interno. Es de Aclarar que por parte del líder del proceso se solicito prorroga hasta el día 23 de abril dada  la contingencia por el asilamientto preventivo, lo que imposibilito cumplir en los tiempos definidos;  para los cual la Aseoria  de Control interno, aprobó dicha pertición y por ende  la oportunidad en la entrega del plan de mejoramiento queda dentro del nivel de 100% de cumplimiento.</t>
  </si>
  <si>
    <t>En enero de 2020 no se aplicaron encuestas de satisfacción debido a que durante este mes no se llevaron a cabo actividades directamente con población beneficiaria, pues se avanzó en la consolidación de los informes de gestión con corte a 31 de diciembre de 2019, así como en la planificación de las acciones a desarrollar durante el primer semestre de 2020.
En el mes de febrero, se aplicaron encuestas de satisfacción en dos charlas de apropiación de ciudad dirigidas a conductores de taxi de la empresa Taxis Libres, en las cuales se obtuvo un nivel de satisfacción promedio del 98%.
En el mes de marzo, se aplicaron encuestas de satisfacción en 11 charlas de apropiación de ciudad de la cuales una estuvo dirigida a los empleados del Hotel BH Rosales, y las 10 restantes a conductores de taxi de las empresas Taxis Libres y Tax Express, en las cuales se obtuvo un nivel de satisfacción promedio del 95%. El buen desempeño obtenido en las encuestas se debe al profesionalismo y calidad humana de las personas encargadas de liderar las charlas de apropiación de ciudad con las cuales se apunta al fomento de la cultura turística en Bogotá.
Debido a la situación de aislamiento obligatorio originada por la pandemia de Covid-19, durante el mes de abril no se llevaron a cabo actividades que dieran origen a la aplicación de encuestas de satisfacción. Una vez generada la estrategia para brindar el servicio de charlas de cultura turística y apropiación de ciudad de manera virtual, entre mayo y  junio de 2020, se llevaron a cabo 7 charlas,  con la participación de conductores de Taxis Libres y Smart Taxi como beneficiarios. El nivel de satisfacción alcanzado en estos meses, se sitúa en el 91%. A continuación el análisis del resultado obtenido, en función de los criterios calificadas por los beneficiarios:
*El material audiovisual y el conocimiento del tema por parte del facilitador, obtuvieron los porcentajes promedio de satisfacción más altos, con 93% y 97% respectivamente; por lo que se concluye que las charlas están bien orientadas y las herramientas tecnológicas empleadas funcionan correctamente.
*La aplicabilidad de lo aprendido en su labor diaria, tuvo un porcentaje promedio de satisfacción del 87%,  posiblemente debido a las circunstancias originadas por la pandemia de Covid-19, pues el transporte de turistas no se está dando; de hecho, los conductores mencionan que su trabajo ha disminuido por efecto del aislamiento.
*La duración de la charla, tuvo un porcentaje promedio de satisfacción del 88%; al respecto, los participantes manifiestan que la charla podría durar más, teniendo en cuenta que el tema es muy extenso, ya que se presentan tres videos de apoyo y se hace una dinámica. Con el ánimo de lograr profundizar los conocimientos de la oferta turística de Bogotá y su rol como anfitriones de ciudad y la imposibilidad de realizar encuentros presenciales, se le envía a todos los asistentes la presentación y los videos que se utilizan como apoyo, para que los puedan consultar posteriormente desde sus casas.</t>
  </si>
  <si>
    <t>DCS-I03</t>
  </si>
  <si>
    <t xml:space="preserve">Número de localidades acompañadas en la implementación de actividades y procesos de fortalecimiento turístico   </t>
  </si>
  <si>
    <t xml:space="preserve">Sumatoria  de localidades acompañadas en la implementación de actividades y procesos de fortalecimiento turístico   </t>
  </si>
  <si>
    <t>Medir el número de localidades acompañadas en la implementación de actividades y procesos de fortalecimiento turístico por parte del Instituto Distrital de Turismo.</t>
  </si>
  <si>
    <t>DCS-I05</t>
  </si>
  <si>
    <t xml:space="preserve">Número de productos turísticos fortalecidos </t>
  </si>
  <si>
    <t>Cuantificar los  productos turísticos fortalecidos y mantenido s  con miras a aumentar la atractividad del mismo en mercados nacionales e internacionales, lo que se  reflejará en más y mejores llegadas de turistas a Bogotá.</t>
  </si>
  <si>
    <t>Sumatoria de los productos turísticos  fortalecidos</t>
  </si>
  <si>
    <t>Durante el primer trimestre de 2020 se avanzó en el desarrollo de las acciones para el fortalecimiento del producto turístico de bienestar y el mantenimiento de los productos turísticos cultural, gastronómico, naturaleza y urbano, cuyo reporte está programado para el mes de mayo de 2020. 
En el segundo trimestre de 2020 se reportó el 100% de cumplimiento en el fortalecimiento y mantenimiento de los productos turísticos priorizados. Teniendo en cuenta que con corte al mes de abril se efectuaron las actividades de mantenimiento de los productos cultural, gastronómico, naturaleza y urbano, estos fueron reportados antes de su programación. No obstante, el fortalecimiento del producto turístico de bienestar a través de su diseño para Bogotá, se completó hasta el mes de junio de 2020, en el cual fue reportado un mes después de lo programado, debido al reto que implicó efectuar el diseño en situación de aislamiento como consecuecia de la pandemia por Covid -19.</t>
  </si>
  <si>
    <t>Cumplir la totalidad de las actividades programadas en el PAA</t>
  </si>
  <si>
    <t xml:space="preserve">(Número actividades de Control Interno ejecutadas en el PAA/Total de actividades de Control Interno programadas en el PAA)*100 </t>
  </si>
  <si>
    <t>80% del Sistema Integrado de Gestión Implementado y mantenido</t>
  </si>
  <si>
    <t>El Instituto Distrital de Turismo en su plataforma estratégica, definió 3 objetivos estratégicos los cuales registran los siguientes porcentajes de cumplimiento a corte segundo trimestre de 2020:
Objetivo 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 Presenta un cumplimiento de 90.85%, debido a que La meta Intervenir 2,5 atractivos turísticos de naturaleza y urbanos, presentó un porcentaje de avance equivalente al 39%, frente a lo programado para el 2020.  Los atractivos en proceso de intervención durante la vigencia 2020 corresponden a: 1. El atractivo turístico urbano "Templete al libertador", que venía con un 50% de avance de la vigencia 2019, con la declaratoria de emergencia sanitaria generada por la pandemia del Coronavirus COVID-19 que decretó el aislamiento preventivo obligatorio de todas las personas.  Con este resultado, al cierre del Plan de Desarrollo, la meta total programada para el cuatrienio, para intervenir 5 atractivos turísticos, se cumple en un 90%, y meta Mantener 100% el sistema de señalización e infraestructura turística instalado en la ciudad de Bogotá se cumplió en 78% y meta Implementar 100 % el sistema de señalización turística de Bogotá, se cumplimiento fue en 80% y las demás metas del primer objetivo se cumplió al 100%.
Objetivo 2. Posicionar a Bogotá como destino turístico a través de la divulgación de su oferta y productos turísticos con el fin de atraer visitantes a nivel nacional e internacional y mejorar la imagen de la ciudad, generando desarrollo, confianza y felicidad para todos, registra un cumplimiento excelente para la Entidad de 100.5%,  debido a que la meta Atender (44.260) personas atendidas a través de la red de información turística: Durante el primer semestre del 2020, se atendió  44.941 usuarios, presentando un cumplimiento de la meta, del 102%,  la cual fue atención personalizada a través de la red de información turística y a partir del 19 de marzo, debido a la emergencia generada por el Covid-19, se mantuvo la operación mediante canales electrónicos y virtuales como el correo electrónico y el portal web bogotadc.travel.  Al cierre del Plan de Desarrollo, el cumplimiento de la meta total programada para atender en el cuatrienio 900 mil personas, es positivo, con un 105%. de cumplimiento representado en un total de 947.868 personas atendidas a través de la red de información turística del IDT entre el 2016 y el 2020. En cuento a la meta Participar y/o realizar cinco (5) actividades de promoción y posicionamiento turístico: Esta meta se cumplió 100% frente a la programación del 2020. Al cierre del Plan de Desarrollo, cumplimiento de la meta total programada para el cuatrienio en 250 actividades, tuvo un 120% de cumplimiento, llegando a un total de 301 actividades de promoción y posicionamiento turístico realizadas entre el 2016 y el 2020. Y la otra meta su cumplimiento fue del 100%.
Objetivo 3. Afianzar la gestión de la entidad a través de la implementación de estrategias de fortalecimiento institucional que contribuyan a posicionar al Instituto como líder a nivel nacional e internacional, en el desarrollo de Bogotá como un destino turístico,pesenta un cumplimiento del  99.34%, debidoa a la ejecución de los meta  Gestionar el 100% de los contratos requeridos por la entidad para el cumplimiento de su misionalidad   fue de  90%  y la meta Atender 100% las necesidades relacionadas con la prestación de servicios de apoyo a la gestión de la entidad fue del 86% del proceso de Gestión Juridicay contractual y la meta Gestionar el 100% del plan de adecuación y sostenibilidad SIGD-MIPG: su  cumplimiento del 100% de acuerdo con lo programado para la vigencia y para el Plan de Desarrollo,y  la implementación del Modelo Integrado de Planeación y Gestión.
En conclusión, los 3 Objetivos Estratégicos de la entidad, registran un porcentaje de avance del 92.7% de cumplimiento, el indicador se presenta para el primer semestre. debido a que el Plan de Desarrollo 2016-2020 “Bogotá mejor para todos”, culminó su ejecución el 31 de mayo.</t>
  </si>
  <si>
    <t>Para el primer trimestre del año se presenta una variación considerable de los datos entre el mes de enero y febrero, es importante aclarar que la diferencia entre el material entregado a la Asociación de recicladores fue mucho mayor, debido al material que se da de baja en la entidad y no necesariamente que se produce en los puntos ecológicos.Los datos anteriores reflejan que se ha dado cumplimineto  a la meta de gestionar adecuadamente los residuos sólidos que se producen en la entidad, toda vez que para los meses de enero y marzo se entregó más de un 44,4% de los residuos y en el mes de febrero 50%. 
Lo anterior indica que se está haciendo una buena separación en la fuente, acopio y entrega de material reciclable, incidiendo positivamente en la disminución de los residuos que llegan al relleno sanitario doña juana.
Para el segundo trimestres es importante informar que debido a las medidas adoptadas por el Gobierno Nacional y la Alcaldía Mayor de Bogotá frente a la declaratoria de emergencia por el COVID_19, se dío inicio a la cuarentena  a mediados del mes de marzo, por lo tanto para los meses de  abril y mayo los reportes se registran en cero debido al cierre de la entidad. Para el mes de junio se presentan los datos registrados debido a una asistencia mínima que se ha dado en la sede de la entidad.</t>
  </si>
  <si>
    <t xml:space="preserve">Para el análisis del presente indicador se toma como línea base el número de seguidores a corte de diciembre del año anterior, es decir, 52.345 seguidores.
Para este segundo trimestre de 2020, se registró un crecimiento de 7.531 nuevos seguidores respecto al primero y un aumento de 27,7% acumulado en relación con la línea base. Así, a corte de 30 de junio se alcanzaron 66.850 seguidores en las redes sociales, lo que corresponde a un crecimiento orgánico de 14.505 seguidores nuevos durante el semestre. 
En términos generales, las cuatro (4) redes sociales presentaron un crecimiento positivo, manteniendo una interacción en los contenidos en cada una de ellas. La red social con mayor crecimiento es Instagram, seguida por Facebook, Twitter y Youtube.
De manera particular, en el mes de abril tuvieron relevancia las sinergias adelantadas en Semana Santa bajo la estrategia de #TurismoReligioso; los contenidos de los Cursos Virtuales y Recorridos Virtuales generaron un engagement fuerte; y los contenidos como la entrega de almuerzos y mercados adelantada por el IDT y la SDDE, DonatónBogotá fueron protagonistas clave en el tráfico de las publicaciones de este mes.
Para mayo es importante destacar el impacto del inicio de las sesiones la Cátedra “Preparando Mi Futuro” para las métricas en Facebook, contenidos como la encuesta sobre información de la población vulnerable del #SectorTurismo, el #GlobalBigDay y los #CursosVirtuales son protagonistas en la dinámica reflejada en Instagram. Los #RecorridosVirtuales y la jornada de entrega de mercados en Twitter también son contenidos para destacar. Se hizo la publicación de sinergias relacionadas con el día de la madre, el día de la familia, entre otras. Así mismo se realizó una campaña de la semana de los Museos.
Y por último, en Junio las sesiones de cátedra “Preparando Mi Futuro” continuaron siendo las de mayor tráfico en Facebook, en Twitter se destacan contenidos como publicaciones en el marco de los Consejos Locales de la Bicicleta y la estrategia de #AsegúraleUnGranDía, y en Instagram la estrategia producto visual de promoción y los contenidos sobre LGBTI+ tuvieron gran acogida. Se hizo la publicación de sinergias en torno a temas como el día del padre, donatón por los niños, Plan de Desarrollo Distrital, Orgullo LBTI+. Es importante destacar que la alianza con INSOR ha permitido la edición de videos de 10 recorridos virtuales con contenido en lenguaje de señas que ha generado un engagement importante con los seguidores.   </t>
  </si>
  <si>
    <t>Para este trimestre se recibieron 287 solicitudes en el correo de solicitudescomunicaciones@idt.gov.co y se atendió el 100% de estas, siendo junio el mes con mayor número de solicitudes recibidas y atendidas (129), seguido por mayo (91) y luego abril (67).
Del total de solicitudes, 149 fueron para atender a través de canales externos, hablando así de publicaciones en página web, actualizaciones y contenidos en redes sociales. Por su parte, 138 solicitudes se atendieron a través de canales internos como el diseño de piezas, la revisión de contenidos y la actualización en intranet. Así, en promedio, el 53% de las solicitudes requirieron su atención a través de canales externos y el 47% en internos. 
Teniendo en cuenta el área solicitante se puede indicar que, en promedio, la Subdirección Corporativa es el área con mayor participación en el total de solicitudes atendidas con un 31%, seguida de la Subdirección de Destino con el 28%, que implican normalmente el desarrollo de piezas gráficas y socialización respectiva del evento. Por su parte, Planeación con el 9%; y Control Interno, Jurídica y observatorio con el 6%, solicitudes que normalmente se basan en su gran mayoría en actualizaciones en la web e intranet. Aunque Promoción revela una atención de 13 solicitudes, la asesora de comunicaciones atendió directamente otras de ellas.
Trimestralmente, el tiempo promedio de atención de solicitudes fue de 4 días. Se están aunando esfuerzos para garantizar la atención en 3 días hábiles, sin embargo, esto depende también del proceso y retroalimentación con el área implicada.
 Por otra parte, es preciso reconocer que para este periodo, el formato “CO-F07 solicitud de apoyo” creado en la vigencia anterior, se está utilizando con mayor frecuencia. En Comunicaciones, se ha realizado la actualización de este formato para las solicitudes que no lo traen adjunto y realizar así su posterior registro en el archivo del proceso. 
Durante este segundo trimestre, ya se ha definido un enlace de comunicaciones para cada una de las áreas del IDT. Esta figura ha permitido que se haga un ejercicio constante de verificación de requerimientos atendidos. En este periodo también se programaron reuniones con cada área para hacer una socialización del proceso de atención a solicitudes.</t>
  </si>
  <si>
    <t>El IDT tuvo un presupuesto de apropiación inical de inversión asignado para la vigencia 2020,  de $16,190 millones, de los cuales en el mes de mayo se sedieron $550millones a la emergencia sanitaria ocasionada por el CODIV 19, dejando una apropiación disponible de $15.640 millones. Es importante establecer que el presupuesto se ejecuto hasta el 31 de mayo, fecha en la que termino el PDD " Bogotá mjero para todos" . La entidad programo ejecutar para este periodo $6.992 millones, comprometiendo $5,168 millones, lo que equivale a una ejecución del 33% del presupuesto disponible y  mostrando una  Oportunidad en la ejecución presupuestal de inversión del 74%  acumulada, periodo febrero mayo, en este último mes se relizo una reprogramación de los procesos teniedo en cuenta el proceso de armonización presupuestal.  A continuación, mostramos el comportamiento por proyecto de inversión acumulado al 31 de mayo.
Proyecto 0988:  Responsable de la ejecución de los proyectos estratégicos 174 y 176, ejecutados por la Subdirección de Promoción y Mercadeo, esta Subdirección proyectó ejecutar de enero a mayo del año $2.433 millones, de los cuales comprometió $1.332 millones, lo que representa una  oportunidad en la ejecución presupuestal del 55% .  Sobre su gestión contractual, se observo un  cumplimiento  del 71% asociado con sus proyecciones contractuales, programo 79 procesos y suscribió 56.
Proyecto 1036: Responsable de la ejecución de los proyectos estratégicos 173 y 175 a cargo de la Subdirección de Destino y Observatorio, está Subdirección proyectó ejecutar en el segundo trimestre del año $1.979 millones, de los cuales comprometió $1.643, lo que represetna una oportunidad en la ejecución del 83%.  Sobre su gestión contractual, se observó un cumplimiento del 90%, asociado a lo   programado Vs ejecutado asociado con el número de contratos , programo 63 procesos y   suscribió 57 . 
Proyecto 1038: Responsable de la ejecución del proyecto estratégico 185, integrado por las áreas transversales de apoyo, OA de Planeación, OA Jurídica, Subdirección Corporativa, Asesoría de Comunicaciones, Dirección General y Control interno, este proyecto tenía programado ejecutar entre enero y mayo recursos por $2,579 millones, de los cuales comprometió $2.193,  equivalentes a una Oportunidad en la ejecución presupuestal de inversiónl del 85% .  Sobre su gestión contractual  se observó un nivel alto %  en el cumplimiento, asociado  con el número de contratos,  programo 76 procesos y  suscribió 69, equivalente a un cumplimiento del 91%.
Conclusión: La entidad  logro una  ejecución del 33%, en términos presupuestales, en terminos de oportunidad en la ejecución presupuestal, lo programado para el segundo semestre  VS lo ejecutado,  presentó  un nivel aceptable con un 74%  Es importante tener en cuenta que los proyectos de inversión en la presenta vigencia se dividian en dos , la primera jecución asociada al PDD " Bogotá mejor para todos"  hasta el 31 de mayo.  Dsde las OAP  se generan informes, quincenales,  sobre la ejecución presupuestal y avance en metas con el fin orientar y hacer más eficiente y oportuna dicha ejecución.</t>
  </si>
  <si>
    <t xml:space="preserve">Durante el primer trimestre de 2020 se avanzó en el acompañamiento para la implementación de actividades y procesos de fortalecimiento turístico de las localidades de La Candelaria, Santa fe, Usaquén, Chapinero, Teusaquillo y San Cristóbal, cuyo reporte está programado para el mes de mayo de 2020. 
En el segundo trimestre de 2020, si bien el reporte del acompañamiento a las 6 localidades priorizadas estaba programado para el mes de mayo; con corte al mes de abril, se verificó el acompañamiento efectuado a las localidades de La Candelaria, Usaquén, Santa Fe y San Cristóbal. En el mes de junio, se reportó el acompañamiento a las localidades de Teusaquillo y Chapinero, logrando así el 100% de lo programado para el primer semestre de 2020. </t>
  </si>
  <si>
    <t>En febrero de 2020 se llevaron a cabo 2 actividades de capacitación dirigidas a conductores de taxi de la empresa Taxis Libres a las que asistieron 25 personas. En el mes de marzo se realizó una capacitación en cultura turística, dirigida a los empleados de las diferentes áreas del Hotel BS Rosales, con una asistencia de 14 personas. En marzo, también se realizaron 11 capacitaciones dirigidas a los conductores de taxis de las empresas Tax Express y Taxis Libres, en los temas de relaciones humanas, servicio al cliente y turismo, a las que asistieron  184 personas. 
Debido a la situación de emergencia originada por la propagación del coronavirus Covid -19 en Colombia, y a las medidas de aislamiento preventivo que el Gobierno Nacional y la Administración Distrital han tomado para mitigar los efectos de la pandemia, se reprogramó el número de personas atendidas a través de charlas y recorridos de apropiación de ciudad durante el primer semestre de 2020, razón por la cual en el mes de marzo se dá cumplimiento al 100% de la meta.
Entre mayo y junio, en vista de la necesidad de avanzar en la sensibilización en cultura turística  y apropiación de ciudad, dirigida a las personas que prestan servicio de taxi,  se logra capacitar de manera virtual a 66 conductores de taxi de la ciudad, razón por la cual se excede el número de personas beneficiadas, con un cumplimiento del 130%..</t>
  </si>
  <si>
    <t>En lo corrido del 2020 , la Red de Información Turística de Bogotá ha atendido residentes, visitantes y turistas nacionales y extranjeros a través de los siguientes mecanismos: ocho (8) puntos  de información turística fijos  la  línea de atención telefónica 018000127400, recorridos turísticos gratuitos, que operaron de enero al 18 de marzo de 2020. 
Dada la emergencia sanitaria por Covid -19, a partir del 19 de marzo se mantuvo la operación a tavés de medios telefónico, electrónico y virtual como: la línea de atención celular 24 horas, el  portal web bogotadc.travel, los recorridos turísticos virtuales y las trivias, a través de los cuales recibieron atención oportuna por parte del equipo de informadores y guías turísticos en idiomas español e inglés.
A través de estos canales fueron atendidos  44,941 usuarios, de los cuales el  47% (21,259) son residentes,  el 41% (18.238) son extranjeros y el 12% (5.444) nacionales.
Por otra parte, el portal web bogotadc.travel ha sido consultado por 30.433 usuarios.
Se han presentado algunas limitantes para el cumplimiento del indicador, entre ellas, el retraso en la entrega de las adecuaciones físicas del PIT Templete del Libertador, la reducción de los informadores y guías que prestan atención en los PIT, debido a la terminación de la vinculación contractual y las medidas de aislamiento obligatorio ocasionadas por la emergencia sanitaria generada por el COVID-19. Sin embargo, la Entidad ha implementado medidas como la atención telefónica 24 horas, para brindar información a los turistas que la requieren.</t>
  </si>
  <si>
    <t>En el marco de la implementación de la estrategia de mercadeo y promoción de Bogotá como destino turístico, el IDT desarrolló las siguientes actividades:
ACCIONES DE PROMOCIÓN  TURÍSTICA (FERIAS/WORKSHOPS)
1. FITUR 2020: El  IDT participó en la feria  FITUR 2020 del 22-26 de enero,  en alianza con Procolombia y con el apoyo en el counter de los gremios de ANATO, COTELCO, ASOBARES y Opain. En  el marco de esta feria, tuvimos reuniones con representantes de la OMT, de Quito Turismo e Iberia, asi como la participación en el  networking con influenciadores. Asi mismo se hizo entrega de material promocional a publico final y memorias USB con informacion de agencias y hoteles. Se quedo con compromiso de tener unos puntos a trabajar con Quito Turismo para definirlos en ANATO 2020.  Con 150.011 participantes de 140 países , la feria alcanza así sus mejores cifras históricas: 255.000 visitantes; 918, expositores titulares; 11.040 empresas, 165 países y regiones, y una participación internacional del 56% .
2. ANATO 2020: En el marco de esta versión 39 de la vitirna turística de ANATO 2020, el IDT participó con un stand de 180 metros cuadrados, en el cual tuvimos presencia de 13 agencias de viajes, 6 atractivos turísticos, 5 gremios, 4 aliados comerciales, 10 emprendimientos, 720 citas de negocios y en promedio 1450 visitas a nuestro stand. Este evento es el más importante  de turismo a  nivel nacional e internacional en Latinoamerica. Es sin lugar a dudas, el mejor escenario para la promoción de los destinos turísticos en el mundo y para Bogotá se convierte en toda una ventana de posicionamiento de la ciudad como un destino turístico y de negocios, para este año contó con la visita de más de 42.748 personas en los tres días de feria. 
EVENTOS DE PROMOCIÓN DE CIUDAD
1. Festival Centro: del 23 al 26 de enero.Festival de música alternativa independiente con artistas nacionales e internacionales que se realiza en varios escenarios del centro de Bogotá.  Además de conciertos, comprende una agenda académica y en esta edición el festival cumple 11 años. En  el marco de este evento el IDT apoyó con: pedestales virtuales, agenda ciudad, sinergia con redes sociales, pauta internacional a través de banners tradicionales desktop + Mobile, marca ciudad, punto de información turística,  kits de Bogotá (80), impresiones de afiches, roll up y plotters.
2.  International Footwear &amp; Leather Show (IFLS) + EICI:  evento realizado del 04 al 06 de febrero.  El IFLS+EICI es la mayor plataforma de negocios de Colombia y la región Andina para el sector calzado, cuero y sus manufacturas, que reúne la muestra de producto terminado y la exhibición de insumos, maquinaria, componentes y tecnología.  Para el desarrollo de este evento, el IDT brindó apoyo a través de:  pedestales virtuales, agenda ciudad, marca ciudad en el evento inaugural: Restaurante El Techo y en Corferias durante la exposición, punto de información turística y 90 kits.
3.  Country Club de Bogotá Championship – Korn Ferry:  realizado del 05 al 09 de febrero.  Torneo de golf de talla internacional (Es una parada del PGA Tour).  El IDT realizó los siguientes apoyos para el desarrollo de este evento: espacio para punto  de información (se ubicó el counter y el pendón), merchandising (calendarios, marca maletas y esferos), publicación en página Bogotá DC Travel y difusión a través de mailing.
Debido a la emergencia sanitaria generada por la pandemia de COVID-19, nuestras fronteras aéreas, marítimas y terrestres fueron cerradas y esto hace imposible la realización de las actividades programadas, por tanto a partir de marzo se modificó la programación inicial. Por lo anterior, no se reporta información.</t>
  </si>
  <si>
    <t>Frente a los servicios ofrecidos en la Red de Información Turística, la Subdirección de Promoción y Mercadeo cuenta un mecanismo virtual de calificación tendiente a evaluar la percepción de satisfacción de los usuarios y la calidad de los servicios ofrecidos en los PIT y recorridos; para ello se pusieron a consideración de los usuarios, todos los aspectos asociados a la atención, servicio, información y material entregado, estado del PIT y guianza durante los recorridos peatonales gratuitos, a través de un formulario de evaluación virtual en la plataforma google forms,  arrojando un resultado de satisfacción un promedio de 4,9 sobre 5 puntos como indicador máximo de satisfacción durante el primer semestre de 2020.
Para el II trimestre, teniendo en cuenta la emergencia sanitaria generada por el Covid-19, fueron suspendidos los servicios presenciales de la Red de Información y por tanto, reprogramado este indicador en el Plan de Gestión Institucional. Por lo anterior, el nivel de satisfacción de usuarios de la red de información fue realizada durante el I trimestre únicamente.</t>
  </si>
  <si>
    <t>En el primer trimestre no aprobó el Plan de Bienestar Institucional, sin embargo, se han adelantado actividades de lo programado para el 2020. Se programaron 4 actividades de las cuales se desarrollaron 6, resultado que equivale a un 150% de cumplimiento frente a lo programado.
En el segundo trimestre no se aprobó el Plan de Bienestar Institucional, sin embargo, se han adelantado actividades de lo programado para el 2020. Se programaron 7 actividades de las cuales se desarrollaron 7, resultado que equivale a un 100% de cumplimiento frente a lo programado y un 63.68% de avance frente a la meta semestral.</t>
  </si>
  <si>
    <t>Durante el primer trimestre se adoptó del Plan de Capacitación: Resolución 024 de 30 enero 2020se adelantaron actividades del PIC 2020, como el Programa de Inducción y Re inducción 2020 charlas formativas. Se realizaron 7 actividades de las cuales se desarrollaron en su totalidad, resultado que equivale a un 100% de cumplimiento frente a lo programado.
Para el segundo trimestre el Plan de Capacitación adelantó actividades del PIC 2020; como el Programa de Inducción y Re inducción y charlas formativas. Se realizaron 20 actividades de las cuales se desarrollaron en su totalidad, resultado que equivale a un 100% de cumplimiento frente a lo programado. Para el periodo en medición se obtuvo un avance del 38% con respecto a la meta anual.</t>
  </si>
  <si>
    <t>En el primer trimestre de la vigencia el plan del SG-SST adoptado con Resolución 023 del 2020. Se  adelantaron  actividades del plan de trabajo 2020 con la asesoría del ARL, se programaron 17 actividades del Plan de Seguridad y Salud en el Trabajo de las cuales se desarrollaron 15, resultado que equivale a un 88% de cumplimiento frente a lo programado.
En el segundo trimestre de la vigencia el plan del SG-SST adoptado con Resolución 023 del 2020. Se  adelantaron  actividades del plan de trabajo 2020 con la asesoría del ARL, se programaron 15 actividades del Plan de Seguridad y Salud en el Trabajo de las cuales se desarrollaron 16, resultado que equivale a un 88% de cumplimiento frente a lo programado y un 107% de avance  frente a la meta semestral.</t>
  </si>
  <si>
    <t xml:space="preserve">En el primer trimestre se evaluó el nivel de satisfacción de los servidores del IDT frente a las siguientes actividades desarrolladas: Estilos de vida saludable (100%) (13 Servidores), Charla en ergonomía (100%) (18 Servidores) Celebración día de la mujer (100%) (19 Servidores), equidad de género (100%) (20 Servidores). Lo anterior tiene como equivalente a un 100%. El indicador registra un cumplimiento de 100% frente a la meta programa.  
En el segundo trimestre se evaluó el nivel de satisfacción de los servidores del IDT frente a las siguientes actividades desarrolladas: Estilos de vida saludable (100%) (13 Servidores), Celebración día de la mujer (100%) (19 Servidores) Actividades SST (100%) (32 Servidores), Inducción y reinducción (97,6%) (127 Servidores). El indicador registra un cumplimiento de 98,43% frente a la meta programa. </t>
  </si>
  <si>
    <t xml:space="preserve">En el primer trimestre se radicaron en el área de Talento Humano de la entidad 67 novedades de nómina, las cuales fueron aplicadas en su totalidad, el indicador registró un 100% de ejecución en el periodo evaluado.
En el segundo trimestre se radicaron en el área de Talento Humano de la entidad 58 novedades de nómina, las cuales fueron aplicadas en su totalidad, el indicador registró un 100% de ejecución en el periodo evaluado. </t>
  </si>
  <si>
    <t xml:space="preserve">En el primer trimestre no se presentaron accidentes de trabajo. Lo anterior refleja un rango de gestión de nivel satisfactorio con un 0% de accidentalidad en el primer trimestre de la vigencia 2020. 
Tanto para el primer como para el segundo trimestre, no se presentaron accidentes de trabajo. Lo anterior refleja un rango de gestión de nivel satisfactorio con un 0% de accidentalidad para la vigencia 2020. </t>
  </si>
  <si>
    <t>Para el primer trimestre de 2020 no se presentaron accidentes de trabajo por lo tanto el indicador no tuvo ningún movimiento, reportando una gestión del  100%. Por cada cien (100) trabajadores que laboraron en el mes, se perdieron 0 días por accidente de trabajo. 
Para el segundo trimestre de 2020 no se presentaron accidentes de trabajo por lo tanto el indicador no tuvo ningún movimiento, reportando una gestión del 100%. Por cada cien (100) trabajadores que laboraron en el mes, se perdieron 0 días por accidente de trabajo</t>
  </si>
  <si>
    <t xml:space="preserve">Para el primer trimestre de 2020 se presentaron nueve incapacidades por enfermedad general y fractura de hueso metatarso, representando un porcentaje de afectación total del 23,08%. En lo que respecta al segundo semestre, se presentó una incapacidad de dos dias por enfermedad general, representando un porcentaje de afectación total del 1,37% con relación al periodo anterior, entre los días laborales perdidos por ausentismo y los días laborados previstos. Es importante aclarar que la mayor proporción de ausentismo correspondió incapacidad de enfermedad laboral, relacionado con un solo servidor público de la Entidad para el primer trimestre de la vigencia 2020.
Es importante aclarar que la mayor proporsión de ausentismo correspondió a un acto extralaboral, ralacinado con un solo servidor público de la Entidad. . 
</t>
  </si>
  <si>
    <t xml:space="preserve">Para el primer trimestre de la vigencia 2020, el indicador "Oportunidad de entrega de elementos de consumo" presentó un rango de gestión satisfactorio, reportando un 100% en su ejecución.
En mayo y junio no hubo entrega de elementos de consumo por motivo del teletrabajo o trabajo en casa a causa de la pandemia y el aislamiento preventivo obligatorio decretado por el Gobierno Nacional. En el mes de abril, sólo hubo dos entregas de material promocional (Chaquetas para la entrega de mercados a la población vulnerable del turismo) </t>
  </si>
  <si>
    <t>Para el primer trimestre de la vigencia 2020, el indicador "Porcentaje solicitudes de mantenimiento de infraestructura  fisica atendidas" presentó un rango de gestión satisfactorio, reportando un 100% en su ejecución.
En el segundo trimestre se realizó el mantenimiento preventivo programado (ascensor, motobomba, ozonizador baños, pintura). No hubo solicitudes por el teletrabajo o trabajo en casa por parte de los funcionarios y contratistas.</t>
  </si>
  <si>
    <t xml:space="preserve">
Las reservas constitutidas al cierre de la vigencia 2019 ascienden a $2.349.507.273, transcurrido el segundo trimestre de la vigencia 2020, la ejecución es de $1.937.617.486 equivalente al 82.47% ubicado en el rango de gestión de nivel aceptable comparado con la meta programada al 31 de diciembre de 2020, faltando por ejecutar en el segundo semestre el 15,53% para alcanzar la meta programada en la vigencia del 98% . </t>
  </si>
  <si>
    <t>La apropiación presupuestal de Gastos de Funcionamiento para la vigencia 2020 es de $7.726.974.200, al segundo trimestre del año 2020 la ejecución presupuestal asciende a $3.583.310.188 equivalente al 46,37% del total de la apropiación de la vigencia 2020; lo cual representa una ejecución presupuestal del 93% respecto al 50% del presupuesto de la vigencia,  ubicandose dentro de la meta programada para el año 2020 del 93%</t>
  </si>
  <si>
    <t>Durante el primer trimestre, se realizó seguimiento con los responsables del PAC en cada proceso. Las dificultades presentadas han venido por la baja ejecución en la Subdirección de Promoción lo que conlleva a presiones constantes para lograr la ejecución al finalizar el mes. En mayo, la subdirección de Promoción presentó la ejecución más baja en la entidad, lo que llevó a quedar en nivel aceptable de ejecución en este mes, por lo que la Directora de la entidad emitió mensaje llamando a mejorar esta situación de ejecución, se informó a la Directora de la situación general del PAC. En el mes de Junio, se realizó seguimiento intensivo para alcanzar a ejecutar lo solicitado.</t>
  </si>
  <si>
    <t>Dos de las liquidaciones que se realizaron en el mes de Enero, fueron solicitadas desde el año 2019, por lo tanto no cuentan como solicitud del mes de enero, los cuales fueron el CTO 42-2017 y el CTO-177-2018. Cabe mencionar, que a dos contratos se hizo devolución al área, los cuáles son CTO- 168-2018 y CTO-192-2019.
En Febrero se solicitó la liquidación del contrato 214 de 2019 y se realizó la respectiva. 
Algunas de las actas de liquidación que están pendientes, obedecen a que el representante legal de la empresa correspondiente no ha enviado los documentos respectivos para finalizar la misma, quedando el indicador sujeto a un factor externo.
En Marzo no llegaron solicitudes de liquidaciones a la Oficina Asesora Jurídica.
En Abril solicitaron la liquidación de los siguientes contratos de la vigencia 2019: CTO-155-2019, CTO-151-2019 CTO 054-CTO-2019, pero se encuentran en respuesta del área solicitante la recepción de los soportes de pago.
Obtuvimos un 33% de cumplimiento en el primer trimestre de la vigencia 2020, esto debido a que existen liquidaciones pendientes de años anteriores, las cuáles se encuentran con pérdida de competencia por parte de la Entidad, existen otros casos en que los contratistas no acuden a suscribir a tiempo el acto administrativo. Cabe resaltar como tema importante, que hasta el 13 de marzo del 2020,  se suscribió el contrato del abogado encargado de realizar la liquidación de los contratos en la Oficina Asesora Jurídica, por lo tanto, éste presenta un gran volumen de trabajo para abordar todas las solicitudes presentadas desde el mes de enero de 2020.
Para el segundo trimestre del 2020, hubo un descenso en el rango de gestión, logrando un 14% de cumplimiento en la liquidación de los contratos, debido a que aumentó el volumen de las solicitudes de liquidacion de contratos radicadas en la Oficina Asesora Jurídica y estan han sido revisadas y tramitadas, pero se encuentran con las siguientes observaciones:
- ALGUNAS LIQUIDACIONES SE ENCUENTRAN CONSISTENTES CONFORME A LOS ANEXOS DEL CONTRATO EN ESPERA POR EL VISTO BUENO DE LA JEFE CLAUDIA
- ALGUNAS SE ENCUENTRAN CONSISTENTES FIRMADAS POR LA JEFE, SE REMITEN AL AREA PARA FIRMA DEL SUPERVISOR
- ALGUNAS SE ENCUENTRAN INCONSISTENTES -NO SE EVIDENCIA LA ORDEN DE PAGO DEL MES DE NOV.$3.000.000 Y FALTA POLIZA  DEVOLVER AL AREA 
- EN ALGUNAS SE REALIZA LA VALIDACION Y  FALTAN ANEXOS ( ORDENES DE PAGO SE SOLICITA AL AREA CORRESPONDIENTE)</t>
  </si>
  <si>
    <t>En el primer trimestre de 2020 se radicaron en la Oficina Asesora Jurídica 110 solicitudes para la elaboración de contratos de las cuáles se realizaron 109, lo  cuál equivale al 99,09% de cumplimiento. Los procesos de contratación adelantados en el periodo evaluado fueron los siguientes:
Enero: 3 contratos prestación de servicios. 
Febrero: 2 Contratos de Arriendamiento, 1 Contrato de Licitación Pública y 41 contratos de Prestación de Servicios y apoyo a la gestión.
Marzo:  3 Órdenes de compra y 59 Contratos de Prestación de Servicios y apoyo a la gestión.
Abril: 9 Contratos de Prestación de Servicios y Apoyo a la Gestión
Mayo: 33 Contratos de Prestación de Servicios y Apoyo a la Gestión, 1 Seleccion abreviada- Menor cuantía, 1 Acuerdo Marco de Precios, 2 Mínima Cuantía
Junio:  1 Contrato de Prestación de Servicios, 1 Seleccion abreviada- Menor cuantía, 1 Mínima Cuantía
De lo anterior nos permitimos informar que la contratación solicitada guarda estricta relación con lo plasmado en Plan Anual de Adquisiciones de la vigencia 2020.</t>
  </si>
  <si>
    <t>El 12 de febrero de 2020 se presentó una (1) actuación, esto es, la asitencia a una reanuadión de audiencia inicial, en la que se saneó el proceso, se resolvieron las excepciones previas, se abordó la oportunidad de conciliación, se fijó el litigio, se consolidó la etapa probatoria, se presentaron alegatos de conclusión y se dictó fallo de primera instancia. Esta audiencia fue citada por medio de auto del 15 de octubre de 2019 del Juzgado 61 Administrativo del Circuito Judicial de Bogotá - Sección Tercera.
El 5 de marzo de 2020 se presentaron dos (2)  actuaciones con la radicación de los oficios 2020EE382 y 2020EE383, dirigidos al Tribunal Administrativo de Cundinamarca Sección Segunda Subsección F, con el fin de solicitar el impulso procesal, ante la inactividad de los despachos de 1 año y 10 meses y 1 año y tres meses, respectivamente.
El 14 de mayo de 2020 se presentaron cinco (5) actuaciones con memoriales enviados por correo electrónico al Tribunal Administrativo de Cundinamarca, presentando cinco (5) actuaciones administrativas para revisión bajo el control inmediato de legalidad, en cumplimiento del artículo 20 de la Ley 137 de 1994.
El 3 de junio de 2020 se presentó una (1) actuación con memorial enviado por correo electrónico al Tribunal Administrativo de Cundinamarca, presentando una (1) actuación administrativa para revisión bajo el control inmediato de legalidad, en cumplimiento del artículo 20 de la Ley 137 de 1994.
*Para el mes de marzo se tenía previstas dos actuaciones que se darían a través de asistencia a audiencias y que habían sido programadas previamente para el 17 y 31 de marzo. No obstante, con fundamento en la declaratoria de emergencia sanitaria, el Consejo Superior de la Judicatura, por medio de Acuerdo PCSJA20-11517 del 15 de marzo de 2020, suspendió los términos judiciales en todo el país, a partir del 16 y hasta el 20 de marzo, con algunas excepciones. Dicha suspensión fue prorrogada, por medio de los acuerdos del Consejo Superior de la Judicatura PCSJA20-11521 del 19 de marzo, PCSJA20-11526 del 22 de marzo, PCSJA20-11532 del 11 de abril, PCSJA20-11546 del 25 de abril, PCSJA20-11549 del 7 de mayo, PCSJA20-11556 del 22 de mayo y  PCSJA20-11567 del 6 de junio,  hasta el 30 de junio de 2020. Por lo anterior, no se reportan otras actividades para el trimestre.</t>
  </si>
  <si>
    <t>Durante el primer trimestre del año 2020, no estaba programada ninguna transferencia documental primaria; sin embargo, por falta de espacio en el área financiera, la Profesional Especializada de Tesorería realizó la transferencial documental primaria al Archivo Central, presentando un grado de avance del 100%. 
Para el segundo trimestre del año 2020, este indicador presenta una modificación en sus variables de programación, considerando la emergencia sanitaria generada por el (COVID-19)  y conforme a la extensión del aislamiento obligatorio, fue necesario suspender la ejecución y cumplimiento del cronograma emitido a comienzo de vigencia para la entrega de las transferencias documentales primarias al Archivo Central de la entidad. 
Teniendo en cuenta que se ha recibido 1 de las 16 transferencias programadas, el indicador se mantiene con las 15 transferencias pendientes; una vez se normalice la gestión presencial en las instalaciones del IDT, se procederá a realizar programación conforme al nuevo cronograma.</t>
  </si>
  <si>
    <t>Para el primer trimestre del año 2020 se obtuvo una calificación de 4 puntos sobre 5 de acuerdo al resultado y estadísticas reportadas en la encuestas google adwords,  en donde se evidencio que en el mes de enero se diligenciaron 4 encuestas, en el mes de febrero 4 y en el mes de marzo 3 encuestas del canal virtual y presencial. Para la pregunta número1 se obtuvo un total de 5 sobre 5, para la pregunta número 2 un total de 4 sobre 5 y para la pregunta 3 un total de 4 sobre 5, obtuviendo un  puntaje final de la encuesta de 4.
En lo que atañe a los meses de abril, mayo y junio; se obtuvo una calificación de 3 sobre 5 puntos, teniendo en cuenta que algunas de las respuestas enviadas por la Subdirección Gestión de Destino y el Observatorio Turismo no fueron satisfactorias para los ciudadanos, por lo tanto, se corrigieron de acuerdo a lo manifestado por los ciudadanos, sin embargo, no volvieron a calificar la encuesta. Esta información es de conocimiento de las áreas responsables de la Información y los jefes. El proceso se encuentra implementando las mejoras para que estas situaciones no se vuelvan a presentar y poder aumentar la calificación final de la encuesta final.
La entidad trabaja cada día en acciones de mejora para brindar al ciudadano una respuesta oportuna y confiable.</t>
  </si>
  <si>
    <t xml:space="preserve">Durante el primer trimestre del año 2020, se radicaron un total de 241 PQRS, cumpliendo con el 100% del indicador ya que todas las respuestas fueron dadas en los términos de ley, lo que permite evidenciar un rango de gestión satisfactorio. En lo que respecta al segundo trimestre, se radicaron 178 PQRS para un cumpliendo total acumulado de 99.5%, lo anterior considerando que solicitud presentada por la Veeduría Distrital se contestó un día después de su vencimiento, sin embargo el rango de gestión se mantuvo en nivel satisfactorio. </t>
  </si>
  <si>
    <t>En virtud del Estado de Emergencia Económica, Social y Ecológica decretada por el Gobierno Nacional  generada por la pandemia del Coronavirus COVID-19, la Dirección General emite Resolución 062 de 2020 "Por la cual se suspenden los términos procesales en las actuaciones disciplinarias del Instituto Distrital de Turismo", Resolución 072 de 2020 por medio de la cual se amplia la suspensión de los términos procesales en las actuaciones disciplinarias del Instituto Distrital de Turismo",  Resolución No. 078 del 27 de abril del 2020 "Por la cual se modifica la Resolución 062 de marzo 27 de 2020", ampliando la suspensión de los términos procesales en las actuaciones disciplinarias del Instituto Distrital de Turismo" y Resolución No. 096 del 1 Junio 2020 "Por la cual se modifica la Resolución 062 de marzo 27 de 2020, ampliando la suspensión de los términos procesales en las actuaciones disciplinarias del Instituto Distrital de Turismo"</t>
  </si>
  <si>
    <t xml:space="preserve">En la vigencia 2020, el Instituto Distrital de Turismo-IDT ejecutó 5 de las 7 metas asociadas al Plan de Desarrollo 2016-2020 “Bogotá mejor para todos”, el cual culminó su ejecución el 31 de mayo, razón por la cual, la programación del indicador se presenta únicamente para el primer semestre del año. Cabe aclarar, que las otras dos (2) metas Plan de Desarrollo, fueron cumplidas en el año 2019, por tanto no se incluyen en el análisis del indicador de esta vigencia.
De las 5 metas programadas en el 2020, dos (2) se habían cumplido al 100% en el 2019, sin embargo, la entidad continuó ejecutando acciones asociadas a estas, en cumplimiento su misionalidad.  Estas 2 metas están relacionadas con atención de usuarios a través de la red de información turística y actividades de promoción y posicionamiento turístico.    Las restantes 3 metas se relacionan con intervención de atractivos turísticos, investigación del sector turismo de Bogotá y la implementación de MIPG.
El avance de las metas Plan de Desarrollo ejecutadas en el 2020, estuvo influenciado por la declaración de pandemia por COVID-19 que impactó negativamente en la ejecución de las actividades programadas, principalmente las asociadas a la meta de infraestructura turística.  Al cierre del Plan de Desarrollo se tiene el siguiente resultado frente a cada una de las 5 metas programadas en el 2020: 
Meta 1: Uno coma cinco (1,5) atractivos turísticos intervenidos: La meta presentó un porcentaje de avance equivalente al 65%, frente a lo programado para el 2020.  Los atractivos en proceso de intervención durante la vigencia 2020 corresponden a: 1. El atractivo turístico urbano "Templete al libertador", que venía con un 50% de avance de la vigencia 2019 y 2. El atractivo turístico de naturaleza Observatorios de Aves, en el Humedal El Burro y en Monserrate. Durante el primer semestre del 2020, las actividades previstas para cumplir la meta se vieron afectadas por la necesidad de suspender los contratos de obra para la adecuación de los atractivos, de conformidad con la declaratoria de emergencia sanitaria generada por la pandemia del Coronavirus COVID-19 que decretó el aislamiento preventivo obligatorio de todas las personas.  Con este resultado, al cierre del Plan de Desarrollo, la meta total programada para el cuatrienio, para intervenir 5 atractivos turísticos, se cumple en un 90%, con la intervención de 4,5 atractivos turísticos de la ciudad.  Es de aclarar, que en el 2019 se incluyó la intervención de 1 atractivo adicional a la meta proyecto asociada, razón por la cual en el 2020, sigue en proceso la intervención del atractivo de naturaleza, sendero Guadalupe-Aguanoso en los Cerros Orientales.
Meta 2: Realizar una (1) investigación del sector turismo de Bogotá: La meta 2020 se ejecutó al 100% con el resultado de la "Encuesta de viajeros 2019". Al cierre del Plan de Desarrollo, la meta total programada para el cuatrienio se cumplió al 100%, con la realización de 4 investigaciones del sector turismo de la ciudad entre el 2016 y el 2020.
Meta 3: Cuarenta y cuatro mil doscientas sesenta (44.260) personas atendidas a través de la red de información turística: Durante el primer semestre del 2020, se atendió  44.941 usuarios, presentando un cumplimiento de la meta, del 102%.  Durante los meses de enero, febrero y mediados de marzo, se brindó atención personalizada a través de la red de información turistica y a partir del 19 de marzo, debido a la emergencia generada por el Covid-19 y a las medidas implementadas para evitar su propagación, se mantuvo la operación mediante canales electrónicos y virtuales como el correo electrónico y el portal web bogotadc.travel, y se implementaron otros canales como la línea de atención celular y recorridos virtuales para atender a los turistas que demandaron información sobre la oferta turística de la ciudad.  Al cierre del Plan de Desarrollo, el balance de cumplimiento de la  meta total programada para atender en el cuatrienio 900 mil personas, es positivo, con un 105% de cumplimiento representado en un total de 947.868 personas atendidas a través de la red de información turística del IDT entre el 2016 y el 2020.
Meta 4: Participar y/o realizar cinco (5) actividades de promoción y posicionamiento turístico: Esta meta se cumplió 100% frente a la programación del 2020.  Es de aclarar que la meta 2020 fue reprogramada en el segundo trimestre por las medidas de aislamiento social que obligaron a la cancelación de algunos eventos, sin embargo, esto no afectó lo previsto en el Plan de Desarrollo. Al cierre del Plan de Desarrollo, el balance de cumplimiento de la  meta total programada para el cuatrienio en 250 actividades, tuvo un 120% de cumplimiento, llegando a un total de 301 actividades de promoción y posicionamiento turístico realizadas entre el 2016 y el 2020.
Meta 5: Gestionar el 100% del plan de adecuación y sostenibilidad SIGD-MIPG: La meta presentó un cumplimiento del 100% de acuerdo con lo programado para la vigencia y para el Plan de Desarrollo, para la implementación del Modelo Integrado de Planeación y Gestión, que ha permitido el monitoreo, evaluación y control de los avances en la gestión institucional.
De acuerdo con lo anterior, el cumplimiento promedio en la ejecución de las metas Plan de Desarrollo frente a lo programado para el año 2020, fue del 93%, influenciado por el incumplimiento de 1 de las 5 metas Plan de Desarrollo que en el 2020 tenían programación.   Frente a las 7 metas definidas para el cuatrienio 2016-2020 del Plan de Desarrollo, el balance es positivo. Dos (2) metas se cumplieron al 100%, 4 metas por encima del 100% y una por debajo del 100%
</t>
  </si>
  <si>
    <t>Pasajeros al año en Aeropuerto el Dorado</t>
  </si>
  <si>
    <t>Mide anualmente el número de pasajeros en Aeropuerto El Dorado.</t>
  </si>
  <si>
    <t>Sumatoria de pasajeros  en Aeropuerto el Dorado</t>
  </si>
  <si>
    <t>Número de pasajeros</t>
  </si>
  <si>
    <t xml:space="preserve">En el primer trimestre 2020, al Aeropuerto Internacional El Dorado llegaron 2.879.146 pasajeros, esto significó una caída  de 12,9%, con respecto al mismo periodo del año 2019. Enero fue el mes que presentó mayor número de llegadas de pasajeros al aeropuerto, en total fueron 1.235.197 y, el mes que registró la cantidad más baja fue marzo, en este mes fueron 634.319 pasajeros, lo que significó una disminución del 41,9%, esto como consecuencia del cierre del Aeropuerto Internacional El Dorado por la pandemia del Covid-19.                                                                                                                                                                                          Para dicho periodo, este indicador refleja un comportamiento aceptable, reflejando el 80,77% del cumplimiento. 
De acuerdo con los datos de abril y mayo de 2020, se evidencia una dosminución significativa respecto a los meses anteriores, en abril se registraron 2.156 y en mayo 7.211 pasajeros en el Aeropuerto El Dorado, esto corresponde a una caída del 99,6% frente al número de pasajeros que llegó durante abril y mayo de 2019. 
Nota: Las proyecciones de número de pasajeros que ingresan por el Aeropuerto el Dorado entre abril y julio disminuyen significativamente puesto que, los viajeros que llegaron a la ciudad durante estos meses lo hicieron bajo los lineamientos decretados por el gobierno, en el presente caso por vuelos humanitarios para colombianos que retornaron al país. 
Cifras obtenidas el día 21/julio/2020, las cifras pueden ser modificadas por futuros reprocesos estadísticos. </t>
  </si>
  <si>
    <t>Todas las metas asociadas al proyecto</t>
  </si>
  <si>
    <t>GIT-I04</t>
  </si>
  <si>
    <t>Número de viajeros extranjeros que visitan Bogotá</t>
  </si>
  <si>
    <t>Mide anualmente el número de viajeros extranjeros que visitan Bogotá. (No incluye Colombianos residentes en el exterior)</t>
  </si>
  <si>
    <t xml:space="preserve"> Para el primer trimestre de 2020, el total de viajeros extranjeros que visitaron la capital del país fue de 396.391, en comparación con el mismo periodo del año 2019, este aumentó en 12,1%; el mes de febrero (167.603) fue el que presentó el mayor registro durante este periodo, seguido de enero (152.213); repecto a marzo, se evidenció una disminución del 35,7% frente a marzo 2019, debido al cierre del Aeropuerto de Bogotá por la pandemia del Covid-19, puesto que en marzo de 2019 llegaron 119.096 extranjeros a Bogotá.
Respecto al segundo trismestre de 2020, a Bogotá llegaron 2.267 extranjeros, esto significo una disminución del 99,3% frente al registro del segundo trimestre de 2019, esto como consecuencia de las restricciones de ingreso al país por la crisis generada por el virus del Covid-19. En el mes junio (1.215) se registró la mayor cantidad de extranjeros, durante este periodo, a causa de nuevos lineamientos del Goberieno frente a la llegada de vuelos humanitarios.
Nota: Las proyecciones de número de visitantes extranjeros entre abril y julio disminuyen significativamente puesto que, los viajeros que llegaron a la ciudad durante estos meses lo hicieron bajo los lineamientos decretados por el gobierno, en el presente caso por vuelos humanitarios para colombianos que retornaron al país.
Cifras obtenidas el día 21/julio/2020, las cifras pueden ser modificadas por futuros reprocesos estadísticos. </t>
  </si>
  <si>
    <t>GIT-I03</t>
  </si>
  <si>
    <t>Número de turistas nacionales que visitan Bogotá</t>
  </si>
  <si>
    <t>Mide el número de turistas nacionales que visitan la ciudad de Bogotá</t>
  </si>
  <si>
    <t>Sumatoria de turistas nacionales que visitan Bogotá</t>
  </si>
  <si>
    <t>El número de turistas nacionales que visitron Bogotá, durante el primer trimestre de 2020 fue 2.381.706, esto significó un caída del 18,4% frente al mismo periodo de 2019. El mes con mayor visita de turistas nacionales fue enero con un total de 921.342 , es decir creció 1,6%,  en comparación al mismo mes del año anterior. En 2019, marzo fue el mes que registró la mayor cantidad de turistas nacionales en Bogotá, puesto que superó 1 millón de turistas; caber resaltar, que el para 2020 se presentó la disminucíón de llegadas de turistas desde marzo, debido a la pandamia por Covid-19. La disminucón entre marzo 2019 y marzo 2020 fue del 50,3%.
Por otro lado, el indicador finalizó en un nivel aceptable, quedando en 89,12%.
Nota: Las proyecciones de número de turistas nacionales entre abril y agosto corresponden a cero, puesto que, los viajeros que llegaron a la ciudad durante estos meses lo hicieron bajo las excepciones decretadas por el gobierno, frente al ailamiento social obligatorio a causa del brote del Covid-19.</t>
  </si>
  <si>
    <t>Posicionar a Bogotá como destino turístico a través de la divulgación de su oferta y productos turísticos con el fin de atraer visitantes a nivel nacional e internacional y mejorar la imagen de la ciudad, generando desarrollo, confianza y felicidad para todos</t>
  </si>
  <si>
    <t>GIT-I02</t>
  </si>
  <si>
    <t>Número de turistas internacionales que visitan Bogotá</t>
  </si>
  <si>
    <t>Mide el número de turistas internacionales que visitan la ciudad de Bogotá</t>
  </si>
  <si>
    <t>Sumatoria de turistas internacionales que visitan Bogotá</t>
  </si>
  <si>
    <t>El total de turistas internacionales que visitaron Bogotá durante el primer trimestre del año 2019 fue de: 394.397.  Con respecto al primer trimestre de 2019, esta cantidad disminuyó 22,9%. Febrero fue el mes que registró mayor número de llegadas de turistas internacionales a la ciudad (163.440), seguido de enero (146.912).  Frente a marzo 2020 se destaca, que el indicador presenta una disminución significativa, debido al cierre del Aeropuerto Internacacional El Dorado por la pandamia gnerada por el Covid-19; la caída porcentual entre marzo 2019 y marzo 2020 fue de 53%.
Nota: Las proyecciones de número de turistas internacionales entre abril y agosto corresponden a cero, puesto que, los viajeros que llegaron a la ciudad durante estos meses lo hicieron bajo los lineamientos decretados por el gobierno, en el presente caso por vuelos humanitarios para colombianos que retornaron al país.</t>
  </si>
  <si>
    <t>Sumatoria de viajeros extranjeros que visitan Bogotá</t>
  </si>
  <si>
    <t xml:space="preserve">
De las 12 acciones programadas a evaluar la eficacia y efectividad durante el segundo trimestre de la vigencia 2020,  se cerrarron 11 acciones; lo que arroja un cumplimiento del  91,67%.  
De las 5 acciones programadas a evaluar la eficacia y efectividad durante el segundo trimestre de la vigencia 2020,  se cerrarron 5 acciones; lo que arroja un cumplimiento del  100%.  
El detalle de  este seguimiento se encuentra publicado en la Intranet, en el Sistema Integrado de Gestión "Planes de Mejoramiento 2020"   link http://intranet.bogotaturismo.gov.co/node/700</t>
  </si>
  <si>
    <t>De las 4 acciones programadas a evaluar la eficacia y efectividad durante el primer trimestre de la vigencia 2020,  no se cerró ninguna acción; lo que arroja un cumplimiento del 0%.
De las 5 acciones programadas a evaluar la eficacia y efectividad durante el  segundo trimestre de la vigencia 2020, se cerrarrón 5; lo que arroja un cumplimiento del 100%.    
El detalle de  este seguimiento se encuentra publicado en la Intranet, en el Sistema Integrado de Gestión "Planes de Mejoramiento 2020"   link http://intranet.bogotaturismo.gov.co/node/700</t>
  </si>
  <si>
    <t>De las 8 acciones programadas a evaluar la eficacia y efectividad durante el primer trimestre de la vigencia 2020,  se cerraron 3 acciones; lo que arroja un cumplimiento del 37.5%.  
De las 7 acciones programadas a evaluar la eficacia y efectividad durante el segundo trimestre de la vigencia 2020,  se cerraron 5 acciones; lo que arroja un cumplimiento del 71.43%.  
El detalle de  este seguimiento se encuentra publicado en la Intranet, en el Sistema Integrado de Gestión "Planes de Mejoramiento 2020"   link http://intranet.bogotaturismo.gov.co/node/700</t>
  </si>
  <si>
    <t>De las 7 acciones programadas a evaluar la eficacia y efectividad durante el primer trimestre de la vigencia 2019,  se cerrarron 7 acciones; lo que arroja un cumplimiento del 100%.  
De las 6 acciones programadas a evaluar la eficacia y efectividad durante el segundo trimestre de la vigencia 2020,  se cerró 1; lo que arroja un cumplimiento del 16.67%.
El detalle de  este seguimiento se encuentra publicado en la Intranet, en el Sistema Integrado de Gestión "Planes de Mejoramiento 2020"   link http://intranet.bogotaturismo.gov.co/node/700</t>
  </si>
  <si>
    <t>De las 12 acciones programadas a evaluar la eficacia y efectividad durante el primer trimestre de la vigencia 2019,  se cerrarron 2 acciones; lo que arroja un cumplimiento del 16,67%.  
De las 2 acciones programadas a evaluar la eficacia y efectividad durante el segundo trimestre de la vigencia 2020,  no se cerró ninguna; lo que arroja un cumplimiento del 0%.    
El detalle de  este seguimiento se encuentra publicado en la Intranet, en el Sistema Integrado de Gestión "Planes de Mejoramiento 2020"   link http://intranet.bogotaturismo.gov.co/node/700"Planes de Mejoramiento 2019"   link http://intranet.bogotaturismo.gov.co/node/700</t>
  </si>
  <si>
    <t>De las 4 acciones programadas a evaluar la eficacia y efectividad durante el segundo trimestre de la vigencia 2020,  se cerrarrón 1 acciones; lo que arroja un cumplimiento del 25%. 
De las 4 acciones programadas a evaluar la eficacia y efectividad durante el segundo trimestre de la vigencia 2020,  se cerrarrón 3 acciones; lo que arroja un cumplimiento del 75%.  
El detalle de  este seguimiento se encuentra publicado en la Intranet, en el Sistema Integrado de Gestión "Planes de Mejoramiento 2020"   link http://intranet.bogotaturismo.gov.co/node/700</t>
  </si>
  <si>
    <t>De las 7 acciones programadas a evaluar la eficacia y efectividad durante el segundo trimestre de la vigencia 2020, no se cerró ; lo que arroja un cumplimiento del 66.67%.  
De las 9 acciones programadas a evaluar la eficacia y efectividad durante el segundo trimestre de la vigencia 2020, se cerrarón 6; lo que arroja un cumplimiento del 66.67%.    
El detalle de  este seguimiento se encuentra publicado en la Intranet, en el Sistema Integrado de Gestión "Planes de Mejoramiento 2020"   link http://intranet.bogotaturismo.gov.co/node/700</t>
  </si>
  <si>
    <t>De las 15 acciones programadas a evaluar la eficacia y efectividad durante el primer trimestre de la vigencia 2020, se cerrarrón 1 acciones; lo que arroja un cumplimiento del 33.33%.  
De las 15 acciones programadas a evaluar la eficacia y efectividad durante el primer trimestre de la vigencia 2020, se cerrarrón 5 acciones; lo que arroja un cumplimiento del 33.33%.  
El detalle de  este seguimiento se encuentra publicado en la Intranet, en el Sistema Integrado de Gestión "Planes de Mejoramiento 2020"   link http://intranet.bogotaturismo.gov.co/node/700</t>
  </si>
  <si>
    <t xml:space="preserve">De 6 acciones programadas  a evaluar la eficacia y efectividad durante el primer trimestre de la vigencia 2020, se cerraron 5;  lo que arroja un cumplimiento del 83.33%.   
De 1 acción programada a evaluar la eficacia y efectividad durante el segundo trimestre de la vigencia 2020, no se cerró ninguna;  lo que arroja un cumplimiento del 0%.   
El detalle de  este seguimiento se encuentra publicado en la Intranet, en el Sistema Integrado de Gestión "Planes de Mejoramiento 2020"   link http://intranet.bogotaturismo.gov.co/node/700
</t>
  </si>
  <si>
    <t>De las 4 acciones programadas a evaluar la eficacia y efectividad durante el primer trimestre de la vigencia 2020,  no se cerró ninguna; lo que arroja un cumplimiento del 0%.  
De las 4 acciones programadas a evaluar la eficacia y efectividad durante el segundo trimestre de la vigencia 2020,  se cerraron 4; lo que arroja un cumplimiento del 100%.   
El detalle de  este seguimiento se encuentra publicado en la Intranet, en el Sistema Integrado de Gestión "Planes de Mejoramiento 2020"   link http://intranet.bogotaturismo.gov.co/node/700</t>
  </si>
  <si>
    <t>De una  acción programadas a evaluar la eficacia y efectividad durante el primer trimestre de la vigencia 2020,  no se cerró niguna;  lo que arroja un cumplimiento del 0%. 
De una  acción programadas a evaluar la eficacia y efectividad durante el segundo trimestre de la vigencia 2020, se cerró una;  lo que arroja un cumplimiento del 100%. 
 El detalle de  este seguimiento se encuentra publicado en la Intranet, en el Sistema Integrado de Gestión "Planes de Mejoramiento 2020"   link http://intranet.bogotaturismo.gov.co/node/700</t>
  </si>
  <si>
    <t>1er . trimestre:  
* El informe final de la auditoría especial al concurso de meritos 003, fue recibido por el proceso de Gestión Juridica  el día 6 de marzo de 2020 y el respectivo plan de mejoramiento diligenciado y  su  correspondiente análisis de causa,  fue remititido el día 13 de marzo  a la Asesoria de Control Interno; por lo anterior se cuenta con una oportunidad del 100%.
2do trimestre:
El informe final de la Auditoría Proceso de Gestión de Talento Humano-Subdirección de Gestión Corporativa, vigencia 2020 , y referente al SIDEAP  fue recibido por el proceso el día 28 de mayo del 2020 y el respectivo plan de mejoramiento con los  parametros establecidos dentro del procedimiento  EI -P06 Planes de Mejoramiento y su  correspondiente análisis de causa,  fue remititido el día 2 de junio  a la Asesoria de Control Interno, lo que arroja un total de 3 días habiles  para el envió del respectivo plan, es decir un cumplimiento del 100%
Los Seguimientos, evaluaciones o informes realizados por la OCI    fue generado el día 11 de junio  del 2020 y el respectivo plan de mejoramiento con los  parametros establecidos dentro del procedimiento  EI -P06 Planes de Mejoramiento y su  correspondiente análisis de causa,  fue remititido el día 16 de junio  a la Asesoria de Control Interno, lo que arroja un total de 3 días habiles  para el envió del respectivo plan, es decir un cumplimiento del 100%. 
El promedio de los dos indicadores es de 3 días habiles lo que equivale a un 100% de cumplimiento.</t>
  </si>
  <si>
    <t>(Valor PAC no ejecutado/Valor del presupuesto programado en PAC)*100)</t>
  </si>
  <si>
    <t>N,A.</t>
  </si>
  <si>
    <t>N,A,</t>
  </si>
  <si>
    <t>SUBDIRECCION DE DESTINO:
Marzo: La Mesa Local de Competitividad Turística de La Candelaria estaba programada para el 20 de marzo de 2020, no obstante, debido a las medidas de aislamiento preventivo tomadas por el Gobierno Nacional y la Administración Distrital en atención a la emergencia sanitaria presentada por la propagación del virus Covid-19, no fue posible llevarla a cabo. Razón por la cual en el segundo trimestre de 2020 se buscarán espacios virtuales para la generación de espacios de participación local.
Mayo: En el mes de mayo la Subdirección de Gestión de Destino asistió y participó en reunión con la Junta Administradora Local de la localidad de Usaquén, donde se realizó un análisis por parte de diferentes gremios, entidades del distrito, sobre la situación generada por la emergencia Covid-19, en el sector turístico de la localidad. Así mismo se desarrollaron propuestas para la reactivación económica de bares y restaurantes de la localidad con miras de evitar la quiebra y cierre definitivo de los mismos. 
Junio: En el mes de junio de 2020 se realizó la primera mesa local de competitividad turística de La Candelaria para la vigencia 2020, el cual contó con la presentación de la Alcaldesa Local doctora Ángela Quiroga,  Andrés Clavijo Subdirector de Gestión de Destino del Instituto Distrital de Turismo y los actores locales interesados en el desarrollo turístico de La Candelaria.
COMUNICACIONES:
Marzo y abril: Tras adopción del Plan y a solicitud de la OAP: 1.Se publica en la página web la matriz del Plan de Acción Institucional de Participación Ciudadana 2020;2. Se socializa contenidos con equipo Comunicaciones. 3. Se construye plan implementación con las siguientes acciones: a) Socializar matriz planeación en canales internos y publicar en la intranet. b) Formular estrategia de comunicaciones. c)  Diligenciar matriz hoja de vida indicador primer trimestre 2020.d) Proyectar contenidos soporte y plan de acción IDT 2020 de participación ciudadana. e) Con contenidos avalados asesora se procede al diseño de piezas y circulación en canales internos.  f)  Organizar y realizar  acto lanzamiento y presentación estrategia comunicacional y charla magistral, con el apoyo de la Oficina Asesora de Planeación para el 7 de junio de 2020.  g)  Organizar y realizar segunda activación 18 de septiembre de 2020,  Día Internacional de la Democracia 2020 h) Radicar evidencias del plan en carpeta compartida proceso de Comunicaciones. 
ABRIL, MAYO Y JUNIO: 
1. Se organiza, convoca y realiza evento: Primer Encuentro Virtual por la Participación CIudadana y el Control Social en el IDT. Participan  125 servidores de la Comunidad IDT. Se aplica  encuesta de apropiación, circulan  20 contenidos en redes sociales. Se publican piezas en la página web link: http://www.bogotaturismo.gov.co/sites/default/files/PLAN_PARTICIPACION_CIUDADANA_2020.pdf y en la intrannet. Se diseñan 8  piezas gráficas y se proyectan en evento virtual 2 presentaciones para circular contenido en canales internos y externos. :  http://intranet.bogotaturismo.gov.co/node/716 
2. Se realiza y convoca a evento: Socialización con lideres operativos PLan de accion y estrategia de comunicaciones con grupos lideres operativos de SIG-MIPG. Ver soportes en: https://drive.google.com/drive/u/1/folders/1x-aSbn118kw0ILAGQ8e7yxi7Gb5DSZTe</t>
  </si>
  <si>
    <t>Medir el cumplimiento del plan de Participación ciudadana y eventos de  control social en la gestión institucional del IDT.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</si>
</sst>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1" formatCode="_-* #,##0_-;\-* #,##0_-;_-* &quot;-&quot;_-;_-@_-"/>
    <numFmt numFmtId="164" formatCode="0.0%"/>
    <numFmt numFmtId="165" formatCode="0.0"/>
    <numFmt numFmtId="166" formatCode="_-* #,##0.00_-;\-* #,##0.00_-;_-* &quot;-&quot;_-;_-@_-"/>
  </numFmts>
  <fonts count="25"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name val="Calibri"/>
      <family val="2"/>
      <scheme val="minor"/>
    </font>
    <font>
      <b/>
      <sz val="10"/>
      <name val="Arial"/>
      <family val="2"/>
    </font>
    <font>
      <sz val="11"/>
      <color theme="1"/>
      <name val="Calibri"/>
      <family val="2"/>
      <scheme val="minor"/>
    </font>
    <font>
      <b/>
      <sz val="10"/>
      <color theme="1"/>
      <name val="Times New Roman"/>
      <family val="1"/>
    </font>
    <font>
      <b/>
      <sz val="11"/>
      <color rgb="FF000000"/>
      <name val="Arial"/>
      <family val="2"/>
    </font>
    <font>
      <b/>
      <sz val="11"/>
      <color indexed="8"/>
      <name val="Arial"/>
      <family val="2"/>
    </font>
    <font>
      <b/>
      <sz val="10"/>
      <color theme="1"/>
      <name val="Times New Roman"/>
      <family val="1"/>
    </font>
    <font>
      <b/>
      <sz val="22"/>
      <color theme="1"/>
      <name val="Times New Roman"/>
      <family val="1"/>
    </font>
    <font>
      <sz val="11"/>
      <color theme="1"/>
      <name val="Times New Roman"/>
      <family val="1"/>
    </font>
    <font>
      <b/>
      <sz val="10"/>
      <name val="Times New Roman"/>
      <family val="1"/>
    </font>
    <font>
      <sz val="8"/>
      <name val="Times New Roman"/>
      <family val="1"/>
    </font>
    <font>
      <b/>
      <sz val="11"/>
      <name val="Times New Roman"/>
      <family val="1"/>
    </font>
    <font>
      <sz val="10"/>
      <name val="Times New Roman"/>
      <family val="1"/>
    </font>
    <font>
      <b/>
      <sz val="11"/>
      <color theme="1"/>
      <name val="Times New Roman"/>
      <family val="1"/>
    </font>
    <font>
      <sz val="11"/>
      <color indexed="8"/>
      <name val="Times New Roman"/>
      <family val="1"/>
    </font>
    <font>
      <sz val="11"/>
      <color rgb="FF000000"/>
      <name val="Times New Roman"/>
      <family val="1"/>
    </font>
    <font>
      <sz val="11"/>
      <color rgb="FF222222"/>
      <name val="Calibri"/>
      <family val="2"/>
      <scheme val="minor"/>
    </font>
    <font>
      <sz val="12"/>
      <name val="Times New Roman"/>
      <family val="1"/>
    </font>
    <font>
      <sz val="9"/>
      <color indexed="81"/>
      <name val="Tahoma"/>
      <family val="2"/>
    </font>
    <font>
      <b/>
      <sz val="9"/>
      <color indexed="81"/>
      <name val="Tahoma"/>
      <family val="2"/>
    </font>
    <font>
      <sz val="8"/>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27">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s>
  <cellStyleXfs count="6">
    <xf numFmtId="0" fontId="0" fillId="0" borderId="0"/>
    <xf numFmtId="9" fontId="1" fillId="0" borderId="0" applyFont="0" applyFill="0" applyBorder="0" applyAlignment="0" applyProtection="0"/>
    <xf numFmtId="0" fontId="2" fillId="0" borderId="0"/>
    <xf numFmtId="0" fontId="1" fillId="0" borderId="0"/>
    <xf numFmtId="42" fontId="1" fillId="0" borderId="0" applyFont="0" applyFill="0" applyBorder="0" applyAlignment="0" applyProtection="0"/>
    <xf numFmtId="41" fontId="1" fillId="0" borderId="0" applyFont="0" applyFill="0" applyBorder="0" applyAlignment="0" applyProtection="0"/>
  </cellStyleXfs>
  <cellXfs count="203">
    <xf numFmtId="0" fontId="0" fillId="0" borderId="0" xfId="0"/>
    <xf numFmtId="0" fontId="3" fillId="8" borderId="12" xfId="2" applyFont="1" applyFill="1" applyBorder="1" applyAlignment="1">
      <alignment horizontal="center" vertical="center" wrapText="1"/>
    </xf>
    <xf numFmtId="0" fontId="3" fillId="8" borderId="12" xfId="2" applyFont="1" applyFill="1" applyBorder="1" applyAlignment="1">
      <alignment horizontal="center"/>
    </xf>
    <xf numFmtId="0" fontId="2" fillId="0" borderId="0" xfId="2"/>
    <xf numFmtId="0" fontId="3" fillId="0" borderId="0" xfId="2" applyFont="1" applyFill="1" applyAlignment="1">
      <alignment horizontal="center" vertical="center" wrapText="1"/>
    </xf>
    <xf numFmtId="0" fontId="3" fillId="0" borderId="0" xfId="3" applyFont="1" applyAlignment="1">
      <alignment horizontal="left" vertical="center" wrapText="1"/>
    </xf>
    <xf numFmtId="0" fontId="2" fillId="9" borderId="0" xfId="2" applyFill="1" applyAlignment="1" applyProtection="1">
      <alignment horizontal="center" vertical="center" wrapText="1"/>
    </xf>
    <xf numFmtId="0" fontId="2" fillId="9" borderId="0" xfId="2" applyFont="1" applyFill="1" applyAlignment="1" applyProtection="1">
      <alignment horizontal="left" vertical="center" wrapText="1"/>
    </xf>
    <xf numFmtId="0" fontId="2" fillId="2" borderId="21" xfId="2" applyFont="1" applyFill="1" applyBorder="1" applyAlignment="1">
      <alignment vertical="center"/>
    </xf>
    <xf numFmtId="0" fontId="4" fillId="2" borderId="12" xfId="2" applyFont="1" applyFill="1" applyBorder="1" applyAlignment="1" applyProtection="1">
      <alignment vertical="center" wrapText="1"/>
    </xf>
    <xf numFmtId="0" fontId="2" fillId="0" borderId="0" xfId="2" applyFont="1" applyFill="1" applyAlignment="1">
      <alignment horizontal="left" vertical="center"/>
    </xf>
    <xf numFmtId="0" fontId="1" fillId="0" borderId="0" xfId="3" applyAlignment="1">
      <alignment horizontal="left"/>
    </xf>
    <xf numFmtId="0" fontId="2" fillId="0" borderId="0" xfId="2" applyFill="1"/>
    <xf numFmtId="0" fontId="4" fillId="0" borderId="0" xfId="2" applyFont="1" applyFill="1" applyBorder="1" applyAlignment="1"/>
    <xf numFmtId="0" fontId="2" fillId="10" borderId="21" xfId="2" applyFont="1" applyFill="1" applyBorder="1" applyAlignment="1">
      <alignment vertical="center"/>
    </xf>
    <xf numFmtId="0" fontId="4" fillId="10" borderId="12" xfId="2" applyFont="1" applyFill="1" applyBorder="1" applyAlignment="1" applyProtection="1">
      <alignment vertical="center" wrapText="1"/>
    </xf>
    <xf numFmtId="0" fontId="2" fillId="9" borderId="0" xfId="2" applyFont="1" applyFill="1" applyAlignment="1" applyProtection="1">
      <alignment horizontal="right" vertical="center" wrapText="1"/>
    </xf>
    <xf numFmtId="0" fontId="4" fillId="0" borderId="0" xfId="2" applyFont="1" applyFill="1"/>
    <xf numFmtId="0" fontId="1" fillId="0" borderId="0" xfId="3" applyAlignment="1"/>
    <xf numFmtId="3" fontId="4" fillId="10" borderId="12" xfId="2" applyNumberFormat="1" applyFont="1" applyFill="1" applyBorder="1" applyAlignment="1" applyProtection="1">
      <alignment vertical="center" wrapText="1"/>
    </xf>
    <xf numFmtId="0" fontId="2" fillId="11" borderId="0" xfId="2" applyFont="1" applyFill="1" applyAlignment="1" applyProtection="1">
      <alignment horizontal="right" vertical="center" wrapText="1"/>
    </xf>
    <xf numFmtId="0" fontId="2" fillId="11" borderId="0" xfId="2" applyFont="1" applyFill="1" applyAlignment="1" applyProtection="1">
      <alignment horizontal="left" vertical="center" wrapText="1"/>
    </xf>
    <xf numFmtId="0" fontId="4" fillId="10" borderId="12" xfId="2" applyFont="1" applyFill="1" applyBorder="1" applyAlignment="1">
      <alignment horizontal="left" vertical="center" wrapText="1"/>
    </xf>
    <xf numFmtId="0" fontId="4" fillId="10" borderId="12" xfId="2" applyFont="1" applyFill="1" applyBorder="1" applyAlignment="1">
      <alignment vertical="center" wrapText="1"/>
    </xf>
    <xf numFmtId="0" fontId="4" fillId="2" borderId="21" xfId="2" applyFont="1" applyFill="1" applyBorder="1" applyAlignment="1">
      <alignment vertical="center" wrapText="1"/>
    </xf>
    <xf numFmtId="0" fontId="4" fillId="10" borderId="21" xfId="2" applyFont="1" applyFill="1" applyBorder="1" applyAlignment="1">
      <alignment vertical="center"/>
    </xf>
    <xf numFmtId="0" fontId="4" fillId="2" borderId="21" xfId="2" applyFont="1" applyFill="1" applyBorder="1" applyAlignment="1">
      <alignment vertical="center"/>
    </xf>
    <xf numFmtId="0" fontId="4" fillId="2" borderId="12" xfId="2" applyFont="1" applyFill="1" applyBorder="1" applyAlignment="1">
      <alignment vertical="center" wrapText="1"/>
    </xf>
    <xf numFmtId="0" fontId="4" fillId="0" borderId="12" xfId="2" applyFont="1" applyFill="1" applyBorder="1" applyAlignment="1" applyProtection="1">
      <alignment vertical="center" wrapText="1"/>
    </xf>
    <xf numFmtId="0" fontId="4" fillId="9" borderId="12" xfId="2" applyFont="1" applyFill="1" applyBorder="1" applyAlignment="1">
      <alignment vertical="center"/>
    </xf>
    <xf numFmtId="0" fontId="4" fillId="9" borderId="12" xfId="2" applyFont="1" applyFill="1" applyBorder="1" applyAlignment="1">
      <alignment vertical="center" wrapText="1"/>
    </xf>
    <xf numFmtId="0" fontId="5" fillId="0" borderId="0" xfId="2" applyFont="1"/>
    <xf numFmtId="0" fontId="2" fillId="0" borderId="0" xfId="2" applyFont="1"/>
    <xf numFmtId="0" fontId="2" fillId="0" borderId="0" xfId="2" applyFill="1" applyAlignment="1">
      <alignment horizontal="left"/>
    </xf>
    <xf numFmtId="0" fontId="2" fillId="0" borderId="0" xfId="2" applyAlignment="1">
      <alignment vertical="center"/>
    </xf>
    <xf numFmtId="0" fontId="2" fillId="0" borderId="0" xfId="2" applyFill="1" applyAlignment="1">
      <alignment vertical="center"/>
    </xf>
    <xf numFmtId="0" fontId="1" fillId="0" borderId="0" xfId="3" applyAlignment="1">
      <alignment horizontal="left" vertical="center"/>
    </xf>
    <xf numFmtId="0" fontId="4" fillId="0" borderId="0" xfId="2" applyFont="1" applyFill="1" applyBorder="1" applyAlignment="1">
      <alignment vertical="center"/>
    </xf>
    <xf numFmtId="0" fontId="2" fillId="0" borderId="0" xfId="2" applyFill="1" applyAlignment="1">
      <alignment horizontal="left" vertical="center"/>
    </xf>
    <xf numFmtId="0" fontId="2" fillId="0" borderId="0" xfId="2" applyAlignment="1">
      <alignment wrapText="1"/>
    </xf>
    <xf numFmtId="0" fontId="6" fillId="0" borderId="0" xfId="0" applyFont="1"/>
    <xf numFmtId="0" fontId="6" fillId="0" borderId="0" xfId="0" applyFont="1" applyBorder="1"/>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wrapText="1"/>
    </xf>
    <xf numFmtId="0" fontId="8" fillId="0" borderId="0" xfId="0" applyFont="1" applyBorder="1" applyAlignment="1">
      <alignment horizontal="justify" vertical="center" wrapText="1"/>
    </xf>
    <xf numFmtId="0" fontId="9" fillId="0" borderId="0" xfId="0" applyFont="1" applyBorder="1" applyAlignment="1">
      <alignment horizontal="justify" vertical="center"/>
    </xf>
    <xf numFmtId="0" fontId="4" fillId="0" borderId="0" xfId="2" applyFont="1" applyFill="1" applyAlignment="1">
      <alignment vertical="center"/>
    </xf>
    <xf numFmtId="0" fontId="12" fillId="0" borderId="0" xfId="0" applyFont="1"/>
    <xf numFmtId="0" fontId="14" fillId="0" borderId="12" xfId="0" applyFont="1" applyFill="1" applyBorder="1" applyAlignment="1" applyProtection="1">
      <alignment vertical="center" wrapText="1"/>
    </xf>
    <xf numFmtId="0" fontId="14" fillId="0" borderId="12" xfId="0" applyFont="1" applyFill="1" applyBorder="1" applyAlignment="1" applyProtection="1">
      <alignment horizontal="justify" vertical="center" wrapText="1"/>
    </xf>
    <xf numFmtId="0" fontId="14" fillId="0" borderId="12" xfId="0" applyFont="1" applyFill="1" applyBorder="1" applyAlignment="1" applyProtection="1">
      <alignment horizontal="center" vertical="center" wrapText="1"/>
    </xf>
    <xf numFmtId="17" fontId="14" fillId="0" borderId="12" xfId="0" applyNumberFormat="1" applyFont="1" applyFill="1" applyBorder="1" applyAlignment="1" applyProtection="1">
      <alignment horizontal="center" vertical="center" textRotation="90" wrapText="1"/>
    </xf>
    <xf numFmtId="0" fontId="14" fillId="4" borderId="12" xfId="0" applyFont="1" applyFill="1" applyBorder="1" applyAlignment="1" applyProtection="1">
      <alignment horizontal="justify" vertical="center" wrapText="1"/>
    </xf>
    <xf numFmtId="0" fontId="12" fillId="0" borderId="0" xfId="0" applyFont="1" applyAlignment="1">
      <alignment horizontal="justify"/>
    </xf>
    <xf numFmtId="0" fontId="12" fillId="0" borderId="0" xfId="0" applyFont="1" applyAlignment="1">
      <alignment horizontal="center"/>
    </xf>
    <xf numFmtId="0" fontId="13" fillId="4" borderId="14" xfId="2" applyFont="1" applyFill="1" applyBorder="1" applyAlignment="1" applyProtection="1">
      <alignment vertical="center" wrapText="1"/>
    </xf>
    <xf numFmtId="0" fontId="13" fillId="4" borderId="0" xfId="2" applyFont="1" applyFill="1" applyBorder="1" applyAlignment="1" applyProtection="1">
      <alignment vertical="center" wrapText="1"/>
    </xf>
    <xf numFmtId="0" fontId="16" fillId="0" borderId="15" xfId="2" applyFont="1" applyBorder="1" applyAlignment="1">
      <alignment vertical="center" wrapText="1"/>
    </xf>
    <xf numFmtId="0" fontId="16" fillId="0" borderId="0" xfId="2" applyFont="1" applyBorder="1" applyAlignment="1">
      <alignment vertical="center" wrapText="1"/>
    </xf>
    <xf numFmtId="9" fontId="16" fillId="0" borderId="16" xfId="2" applyNumberFormat="1" applyFont="1" applyBorder="1" applyAlignment="1">
      <alignment vertical="center" wrapText="1"/>
    </xf>
    <xf numFmtId="9" fontId="16" fillId="0" borderId="0" xfId="2" applyNumberFormat="1" applyFont="1" applyBorder="1" applyAlignment="1">
      <alignment vertical="center" wrapText="1"/>
    </xf>
    <xf numFmtId="0" fontId="0" fillId="0" borderId="0" xfId="0" applyFont="1" applyBorder="1" applyAlignment="1">
      <alignment horizontal="justify" vertical="center"/>
    </xf>
    <xf numFmtId="0" fontId="15" fillId="3" borderId="9" xfId="0" applyFont="1" applyFill="1" applyBorder="1" applyAlignment="1">
      <alignment horizontal="center" vertical="center"/>
    </xf>
    <xf numFmtId="0" fontId="15" fillId="3" borderId="4" xfId="0" applyFont="1" applyFill="1" applyBorder="1" applyAlignment="1">
      <alignment horizontal="center" vertical="center"/>
    </xf>
    <xf numFmtId="0" fontId="17" fillId="0" borderId="14" xfId="0" applyFont="1" applyBorder="1" applyAlignment="1">
      <alignment vertical="center" wrapText="1"/>
    </xf>
    <xf numFmtId="0" fontId="18" fillId="0" borderId="14" xfId="0" applyFont="1" applyBorder="1" applyAlignment="1">
      <alignment horizontal="justify" vertical="center"/>
    </xf>
    <xf numFmtId="0" fontId="17" fillId="0" borderId="15" xfId="0" applyFont="1" applyBorder="1" applyAlignment="1">
      <alignment vertical="center" wrapText="1"/>
    </xf>
    <xf numFmtId="0" fontId="18" fillId="0" borderId="15" xfId="0" applyFont="1" applyBorder="1" applyAlignment="1">
      <alignment horizontal="justify" vertical="center"/>
    </xf>
    <xf numFmtId="0" fontId="17" fillId="0" borderId="15" xfId="0" applyFont="1" applyBorder="1" applyAlignment="1">
      <alignment vertical="center"/>
    </xf>
    <xf numFmtId="0" fontId="18" fillId="0" borderId="15" xfId="0" applyFont="1" applyBorder="1" applyAlignment="1">
      <alignment horizontal="justify" vertical="center" wrapText="1"/>
    </xf>
    <xf numFmtId="0" fontId="19" fillId="0" borderId="15" xfId="0" applyFont="1" applyBorder="1" applyAlignment="1">
      <alignment horizontal="justify" vertical="center" wrapText="1"/>
    </xf>
    <xf numFmtId="0" fontId="17" fillId="0" borderId="16" xfId="0" applyFont="1" applyBorder="1" applyAlignment="1">
      <alignment vertical="center" wrapText="1"/>
    </xf>
    <xf numFmtId="0" fontId="19" fillId="0" borderId="16" xfId="0" applyFont="1" applyBorder="1" applyAlignment="1">
      <alignment horizontal="justify" vertical="center" wrapText="1"/>
    </xf>
    <xf numFmtId="42" fontId="12" fillId="0" borderId="0" xfId="4" applyFont="1"/>
    <xf numFmtId="42" fontId="12" fillId="0" borderId="0" xfId="0" applyNumberFormat="1" applyFont="1"/>
    <xf numFmtId="42" fontId="12" fillId="0" borderId="0" xfId="4" applyFont="1" applyBorder="1"/>
    <xf numFmtId="42" fontId="14" fillId="0" borderId="12" xfId="0" applyNumberFormat="1" applyFont="1" applyFill="1" applyBorder="1" applyAlignment="1" applyProtection="1">
      <alignment horizontal="left" vertical="center" wrapText="1"/>
    </xf>
    <xf numFmtId="9" fontId="12" fillId="0" borderId="0" xfId="1" applyFont="1"/>
    <xf numFmtId="0" fontId="20" fillId="0" borderId="0" xfId="0" applyFont="1"/>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vertical="center" wrapText="1"/>
      <protection locked="0"/>
    </xf>
    <xf numFmtId="9" fontId="21" fillId="0" borderId="12" xfId="1" applyNumberFormat="1" applyFont="1" applyFill="1" applyBorder="1" applyAlignment="1" applyProtection="1">
      <alignment horizontal="center" vertical="center" wrapText="1"/>
    </xf>
    <xf numFmtId="9" fontId="21" fillId="0" borderId="12" xfId="1" applyFont="1" applyFill="1" applyBorder="1" applyAlignment="1" applyProtection="1">
      <alignment horizontal="center" vertical="center" wrapText="1"/>
    </xf>
    <xf numFmtId="9" fontId="21" fillId="0" borderId="12" xfId="0" applyNumberFormat="1" applyFont="1" applyFill="1" applyBorder="1" applyAlignment="1" applyProtection="1">
      <alignment horizontal="center" vertical="center" wrapText="1"/>
    </xf>
    <xf numFmtId="2" fontId="12" fillId="0" borderId="0" xfId="0" applyNumberFormat="1" applyFont="1"/>
    <xf numFmtId="1" fontId="12" fillId="0" borderId="0" xfId="0" applyNumberFormat="1" applyFont="1"/>
    <xf numFmtId="1" fontId="21" fillId="0" borderId="12" xfId="1" applyNumberFormat="1" applyFont="1" applyFill="1" applyBorder="1" applyAlignment="1" applyProtection="1">
      <alignment horizontal="center" vertical="center" wrapText="1"/>
    </xf>
    <xf numFmtId="165" fontId="21" fillId="0" borderId="12" xfId="1" applyNumberFormat="1" applyFont="1" applyFill="1" applyBorder="1" applyAlignment="1" applyProtection="1">
      <alignment horizontal="center" vertical="center" wrapText="1"/>
    </xf>
    <xf numFmtId="41" fontId="21" fillId="0" borderId="12" xfId="5" applyFont="1" applyFill="1" applyBorder="1" applyAlignment="1" applyProtection="1">
      <alignment horizontal="left" vertical="center" wrapText="1"/>
    </xf>
    <xf numFmtId="164" fontId="21" fillId="0" borderId="12" xfId="1" applyNumberFormat="1" applyFont="1" applyFill="1" applyBorder="1" applyAlignment="1">
      <alignment horizontal="right" vertical="center" wrapText="1"/>
    </xf>
    <xf numFmtId="10" fontId="21" fillId="0" borderId="12" xfId="1" applyNumberFormat="1" applyFont="1" applyFill="1" applyBorder="1" applyAlignment="1">
      <alignment horizontal="right" vertical="center" wrapText="1"/>
    </xf>
    <xf numFmtId="9" fontId="21" fillId="0" borderId="12" xfId="1" applyNumberFormat="1" applyFont="1" applyFill="1" applyBorder="1" applyAlignment="1">
      <alignment horizontal="right" vertical="center" wrapText="1"/>
    </xf>
    <xf numFmtId="0" fontId="21" fillId="0" borderId="12" xfId="0" applyFont="1" applyFill="1" applyBorder="1" applyAlignment="1">
      <alignment horizontal="right" vertical="center" wrapText="1"/>
    </xf>
    <xf numFmtId="41" fontId="21" fillId="0" borderId="12" xfId="5" applyFont="1" applyFill="1" applyBorder="1" applyAlignment="1">
      <alignment horizontal="right" vertical="center" wrapText="1"/>
    </xf>
    <xf numFmtId="9" fontId="21" fillId="0" borderId="12" xfId="1" applyFont="1" applyFill="1" applyBorder="1" applyAlignment="1">
      <alignment horizontal="right" vertical="center" wrapText="1"/>
    </xf>
    <xf numFmtId="0" fontId="21" fillId="0" borderId="12" xfId="0" applyFont="1" applyFill="1" applyBorder="1" applyAlignment="1" applyProtection="1">
      <alignment horizontal="right" vertical="center" wrapText="1"/>
    </xf>
    <xf numFmtId="0" fontId="12" fillId="0" borderId="12" xfId="0" applyFont="1" applyBorder="1" applyAlignment="1">
      <alignment horizontal="center" wrapText="1"/>
    </xf>
    <xf numFmtId="0" fontId="12" fillId="0" borderId="12" xfId="0" applyFont="1" applyBorder="1" applyAlignment="1">
      <alignment wrapText="1"/>
    </xf>
    <xf numFmtId="0" fontId="12" fillId="0" borderId="12" xfId="0" applyFont="1" applyBorder="1" applyAlignment="1">
      <alignment vertical="top" wrapText="1"/>
    </xf>
    <xf numFmtId="166" fontId="21" fillId="0" borderId="12" xfId="5" applyNumberFormat="1" applyFont="1" applyFill="1" applyBorder="1" applyAlignment="1">
      <alignment horizontal="right" vertical="center" wrapText="1"/>
    </xf>
    <xf numFmtId="0" fontId="12" fillId="0" borderId="0" xfId="0" applyFont="1" applyAlignment="1">
      <alignment vertical="center" wrapText="1"/>
    </xf>
    <xf numFmtId="0" fontId="12" fillId="0" borderId="12" xfId="0" applyFont="1" applyFill="1" applyBorder="1" applyAlignment="1">
      <alignment wrapText="1"/>
    </xf>
    <xf numFmtId="0" fontId="12" fillId="0" borderId="12" xfId="0" applyFont="1" applyFill="1" applyBorder="1" applyAlignment="1">
      <alignment horizont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vertical="top" wrapText="1"/>
    </xf>
    <xf numFmtId="0" fontId="12" fillId="0" borderId="12" xfId="0" applyFont="1" applyFill="1" applyBorder="1" applyAlignment="1">
      <alignment vertical="center" wrapText="1"/>
    </xf>
    <xf numFmtId="9" fontId="0" fillId="0" borderId="0" xfId="0" applyNumberFormat="1"/>
    <xf numFmtId="9" fontId="0" fillId="0" borderId="0" xfId="1" applyFont="1"/>
    <xf numFmtId="164" fontId="0" fillId="0" borderId="0" xfId="1" applyNumberFormat="1" applyFont="1"/>
    <xf numFmtId="9" fontId="21" fillId="4" borderId="12" xfId="1" applyFont="1" applyFill="1" applyBorder="1" applyAlignment="1" applyProtection="1">
      <alignment horizontal="center" vertical="center" wrapText="1"/>
    </xf>
    <xf numFmtId="9" fontId="21" fillId="0" borderId="12" xfId="1" applyFont="1" applyFill="1" applyBorder="1" applyAlignment="1" applyProtection="1">
      <alignment horizontal="right" vertical="center" wrapText="1"/>
    </xf>
    <xf numFmtId="9" fontId="21" fillId="0" borderId="12" xfId="0" applyNumberFormat="1" applyFont="1" applyFill="1" applyBorder="1" applyAlignment="1">
      <alignment horizontal="right" vertical="center" wrapText="1"/>
    </xf>
    <xf numFmtId="0" fontId="14" fillId="0" borderId="19" xfId="0" applyFont="1" applyFill="1" applyBorder="1" applyAlignment="1" applyProtection="1">
      <alignment vertical="center" wrapText="1"/>
    </xf>
    <xf numFmtId="0" fontId="7" fillId="2" borderId="12"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10" fillId="2" borderId="12" xfId="0" applyFont="1" applyFill="1" applyBorder="1" applyAlignment="1" applyProtection="1">
      <alignment horizontal="center" vertical="center" wrapText="1"/>
      <protection locked="0"/>
    </xf>
    <xf numFmtId="0" fontId="7" fillId="2" borderId="12" xfId="0" applyFont="1" applyFill="1" applyBorder="1" applyAlignment="1" applyProtection="1">
      <alignment vertical="center" textRotation="90" wrapText="1"/>
      <protection locked="0"/>
    </xf>
    <xf numFmtId="0" fontId="10" fillId="2" borderId="12" xfId="0" applyFont="1" applyFill="1" applyBorder="1" applyAlignment="1" applyProtection="1">
      <alignment vertical="center" textRotation="90" wrapText="1"/>
      <protection locked="0"/>
    </xf>
    <xf numFmtId="0" fontId="7" fillId="3" borderId="12" xfId="0" applyFont="1" applyFill="1" applyBorder="1" applyAlignment="1">
      <alignment horizontal="center" vertical="center" wrapText="1"/>
    </xf>
    <xf numFmtId="164" fontId="12" fillId="0" borderId="0" xfId="0" applyNumberFormat="1" applyFont="1"/>
    <xf numFmtId="9" fontId="21" fillId="0" borderId="12" xfId="5" applyNumberFormat="1" applyFont="1" applyBorder="1" applyAlignment="1">
      <alignment horizontal="right" vertical="center" wrapText="1"/>
    </xf>
    <xf numFmtId="9" fontId="21" fillId="0" borderId="12" xfId="5" applyNumberFormat="1" applyFont="1" applyFill="1" applyBorder="1" applyAlignment="1">
      <alignment horizontal="right" vertical="center" wrapText="1"/>
    </xf>
    <xf numFmtId="9" fontId="12" fillId="0" borderId="12" xfId="1" applyFont="1" applyBorder="1" applyAlignment="1">
      <alignment vertical="top" wrapText="1"/>
    </xf>
    <xf numFmtId="164" fontId="21" fillId="0" borderId="12" xfId="1" applyNumberFormat="1" applyFont="1" applyFill="1" applyBorder="1" applyAlignment="1" applyProtection="1">
      <alignment horizontal="right" vertical="center" wrapText="1"/>
    </xf>
    <xf numFmtId="0" fontId="12" fillId="0" borderId="0" xfId="0" applyFont="1" applyFill="1"/>
    <xf numFmtId="0" fontId="14" fillId="0" borderId="12" xfId="0" applyFont="1" applyBorder="1" applyAlignment="1">
      <alignment horizontal="center" vertical="center" wrapText="1"/>
    </xf>
    <xf numFmtId="0" fontId="0" fillId="0" borderId="25" xfId="0" applyBorder="1"/>
    <xf numFmtId="9" fontId="0" fillId="0" borderId="25" xfId="0" applyNumberFormat="1" applyBorder="1"/>
    <xf numFmtId="0" fontId="3" fillId="0" borderId="25" xfId="0" applyFont="1" applyBorder="1" applyAlignment="1">
      <alignment horizontal="center" vertical="center" wrapText="1"/>
    </xf>
    <xf numFmtId="0" fontId="12" fillId="0" borderId="0" xfId="0" applyFont="1" applyFill="1" applyBorder="1"/>
    <xf numFmtId="0" fontId="12" fillId="0" borderId="0" xfId="0" applyFont="1" applyBorder="1"/>
    <xf numFmtId="0" fontId="12" fillId="0" borderId="12" xfId="0" applyFont="1" applyBorder="1" applyAlignment="1">
      <alignment horizontal="left" vertical="center" wrapText="1"/>
    </xf>
    <xf numFmtId="0" fontId="14" fillId="0" borderId="12" xfId="0" applyFont="1" applyBorder="1" applyAlignment="1">
      <alignment horizontal="justify" vertical="center" wrapText="1"/>
    </xf>
    <xf numFmtId="17" fontId="14" fillId="0" borderId="12" xfId="0" applyNumberFormat="1" applyFont="1" applyBorder="1" applyAlignment="1">
      <alignment horizontal="center" vertical="center" textRotation="90" wrapText="1"/>
    </xf>
    <xf numFmtId="0" fontId="14" fillId="0" borderId="12" xfId="0" applyFont="1" applyBorder="1" applyAlignment="1">
      <alignment vertical="center" wrapText="1"/>
    </xf>
    <xf numFmtId="0" fontId="14" fillId="0" borderId="19" xfId="0" applyFont="1" applyBorder="1" applyAlignment="1">
      <alignment vertical="center" wrapText="1"/>
    </xf>
    <xf numFmtId="1" fontId="21" fillId="0" borderId="12" xfId="1" applyNumberFormat="1" applyFont="1" applyFill="1" applyBorder="1" applyAlignment="1" applyProtection="1">
      <alignment horizontal="right" vertical="center" wrapText="1"/>
    </xf>
    <xf numFmtId="9" fontId="21" fillId="4" borderId="12" xfId="1" applyFont="1" applyFill="1" applyBorder="1" applyAlignment="1">
      <alignment horizontal="right" vertical="center" wrapText="1"/>
    </xf>
    <xf numFmtId="0" fontId="12" fillId="0" borderId="12" xfId="0" applyFont="1" applyBorder="1" applyAlignment="1">
      <alignment vertical="center" wrapText="1"/>
    </xf>
    <xf numFmtId="9" fontId="21" fillId="4" borderId="12" xfId="1" applyNumberFormat="1" applyFont="1" applyFill="1" applyBorder="1" applyAlignment="1">
      <alignment horizontal="right" vertical="center" wrapText="1"/>
    </xf>
    <xf numFmtId="10" fontId="21" fillId="4" borderId="12" xfId="1" applyNumberFormat="1" applyFont="1" applyFill="1" applyBorder="1" applyAlignment="1">
      <alignment horizontal="right" vertical="center" wrapText="1"/>
    </xf>
    <xf numFmtId="9" fontId="21" fillId="6" borderId="12" xfId="1" applyFont="1" applyFill="1" applyBorder="1" applyAlignment="1">
      <alignment horizontal="right" vertical="center" wrapText="1"/>
    </xf>
    <xf numFmtId="0" fontId="12" fillId="0" borderId="12" xfId="0" applyFont="1" applyBorder="1" applyAlignment="1">
      <alignment horizontal="left" vertical="top" wrapText="1"/>
    </xf>
    <xf numFmtId="0" fontId="12" fillId="0" borderId="12" xfId="0" applyFont="1" applyBorder="1" applyAlignment="1">
      <alignment horizontal="left" wrapText="1"/>
    </xf>
    <xf numFmtId="9" fontId="12" fillId="0" borderId="12" xfId="1" applyFont="1" applyBorder="1" applyAlignment="1">
      <alignment horizontal="right" vertical="center" wrapText="1"/>
    </xf>
    <xf numFmtId="0" fontId="12" fillId="0" borderId="12" xfId="0" applyFont="1" applyFill="1" applyBorder="1" applyAlignment="1">
      <alignment horizontal="left" wrapText="1"/>
    </xf>
    <xf numFmtId="0" fontId="12" fillId="0" borderId="12" xfId="0" applyFont="1" applyFill="1" applyBorder="1" applyAlignment="1">
      <alignment horizontal="left" vertical="center" wrapText="1"/>
    </xf>
    <xf numFmtId="0" fontId="12" fillId="0" borderId="12" xfId="0" applyFont="1" applyFill="1" applyBorder="1" applyAlignment="1">
      <alignment horizontal="left" vertical="top" wrapText="1"/>
    </xf>
    <xf numFmtId="0" fontId="14" fillId="4" borderId="12" xfId="0" applyFont="1" applyFill="1" applyBorder="1" applyAlignment="1">
      <alignment horizontal="justify" vertical="center" wrapText="1"/>
    </xf>
    <xf numFmtId="3" fontId="21" fillId="0" borderId="12" xfId="1" applyNumberFormat="1" applyFont="1" applyFill="1" applyBorder="1" applyAlignment="1" applyProtection="1">
      <alignment horizontal="center" vertical="center" wrapText="1"/>
    </xf>
    <xf numFmtId="41" fontId="21" fillId="0" borderId="12" xfId="5" applyFont="1" applyFill="1" applyBorder="1" applyAlignment="1" applyProtection="1">
      <alignment horizontal="center" vertical="center" wrapText="1"/>
    </xf>
    <xf numFmtId="10" fontId="21" fillId="0" borderId="12" xfId="1" applyNumberFormat="1" applyFont="1" applyFill="1" applyBorder="1" applyAlignment="1" applyProtection="1">
      <alignment horizontal="right" vertical="center" wrapText="1"/>
    </xf>
    <xf numFmtId="0" fontId="21" fillId="0" borderId="12" xfId="0" applyFont="1" applyBorder="1" applyAlignment="1">
      <alignment horizontal="right" vertical="center" wrapText="1"/>
    </xf>
    <xf numFmtId="0" fontId="14" fillId="4" borderId="12" xfId="0" applyFont="1" applyFill="1" applyBorder="1" applyAlignment="1" applyProtection="1">
      <alignment vertical="center" wrapText="1"/>
    </xf>
    <xf numFmtId="0" fontId="14" fillId="4" borderId="19" xfId="0" applyFont="1" applyFill="1" applyBorder="1" applyAlignment="1" applyProtection="1">
      <alignment vertical="center" wrapText="1"/>
    </xf>
    <xf numFmtId="0" fontId="14" fillId="4" borderId="12" xfId="0" applyFont="1" applyFill="1" applyBorder="1" applyAlignment="1" applyProtection="1">
      <alignment horizontal="center" vertical="center" wrapText="1"/>
    </xf>
    <xf numFmtId="17" fontId="14" fillId="4" borderId="12" xfId="0" applyNumberFormat="1" applyFont="1" applyFill="1" applyBorder="1" applyAlignment="1" applyProtection="1">
      <alignment horizontal="center" vertical="center" textRotation="90" wrapText="1"/>
    </xf>
    <xf numFmtId="164" fontId="21" fillId="4" borderId="12" xfId="1" applyNumberFormat="1" applyFont="1" applyFill="1" applyBorder="1" applyAlignment="1">
      <alignment horizontal="right" vertical="center" wrapText="1"/>
    </xf>
    <xf numFmtId="0" fontId="12" fillId="4" borderId="12" xfId="0" applyFont="1" applyFill="1" applyBorder="1" applyAlignment="1">
      <alignment wrapText="1"/>
    </xf>
    <xf numFmtId="0" fontId="12" fillId="4" borderId="0" xfId="0" applyFont="1" applyFill="1"/>
    <xf numFmtId="0" fontId="10" fillId="0" borderId="1" xfId="0" applyFont="1" applyBorder="1" applyAlignment="1">
      <alignment wrapText="1"/>
    </xf>
    <xf numFmtId="0" fontId="10" fillId="0" borderId="5" xfId="0" applyFont="1" applyBorder="1" applyAlignment="1">
      <alignment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3" fillId="4" borderId="14" xfId="2" applyFont="1" applyFill="1" applyBorder="1" applyAlignment="1" applyProtection="1">
      <alignment horizontal="center" vertical="center" wrapText="1"/>
    </xf>
    <xf numFmtId="0" fontId="13" fillId="4" borderId="15" xfId="2" applyFont="1" applyFill="1" applyBorder="1" applyAlignment="1" applyProtection="1">
      <alignment horizontal="center" vertical="center" wrapText="1"/>
    </xf>
    <xf numFmtId="0" fontId="13" fillId="4" borderId="16" xfId="2" applyFont="1" applyFill="1" applyBorder="1" applyAlignment="1" applyProtection="1">
      <alignment horizontal="center" vertical="center" wrapText="1"/>
    </xf>
    <xf numFmtId="0" fontId="13" fillId="4" borderId="10" xfId="2" applyFont="1" applyFill="1" applyBorder="1" applyAlignment="1" applyProtection="1">
      <alignment horizontal="center" vertical="center" wrapText="1"/>
    </xf>
    <xf numFmtId="0" fontId="13" fillId="4" borderId="18" xfId="2" applyFont="1" applyFill="1" applyBorder="1" applyAlignment="1" applyProtection="1">
      <alignment horizontal="center" vertical="center" wrapText="1"/>
    </xf>
    <xf numFmtId="0" fontId="15" fillId="5" borderId="11" xfId="2" applyFont="1" applyFill="1" applyBorder="1" applyAlignment="1">
      <alignment horizontal="center" vertical="center" wrapText="1"/>
    </xf>
    <xf numFmtId="0" fontId="15" fillId="5" borderId="19" xfId="2" applyFont="1" applyFill="1" applyBorder="1" applyAlignment="1">
      <alignment horizontal="center" vertical="center" wrapText="1"/>
    </xf>
    <xf numFmtId="0" fontId="17" fillId="6" borderId="11" xfId="2" applyFont="1" applyFill="1" applyBorder="1" applyAlignment="1">
      <alignment horizontal="center" vertical="center" wrapText="1"/>
    </xf>
    <xf numFmtId="0" fontId="17" fillId="6" borderId="19" xfId="2" applyFont="1" applyFill="1" applyBorder="1" applyAlignment="1">
      <alignment horizontal="center" vertical="center" wrapText="1"/>
    </xf>
    <xf numFmtId="0" fontId="17" fillId="7" borderId="17" xfId="2" applyFont="1" applyFill="1" applyBorder="1" applyAlignment="1">
      <alignment horizontal="center" vertical="center" wrapText="1"/>
    </xf>
    <xf numFmtId="0" fontId="17" fillId="7" borderId="20" xfId="2"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7" fillId="7" borderId="12" xfId="0" applyFont="1" applyFill="1" applyBorder="1" applyAlignment="1">
      <alignment horizontal="center" vertical="center" wrapText="1"/>
    </xf>
    <xf numFmtId="9" fontId="16" fillId="7" borderId="12" xfId="0" applyNumberFormat="1"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cellXfs>
  <cellStyles count="6">
    <cellStyle name="Millares [0]" xfId="5" builtinId="6"/>
    <cellStyle name="Moneda [0]" xfId="4" builtinId="7"/>
    <cellStyle name="Normal" xfId="0" builtinId="0"/>
    <cellStyle name="Normal 2" xfId="3"/>
    <cellStyle name="Normal 2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externalLink" Target="externalLinks/externalLink3.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606481</xdr:colOff>
      <xdr:row>0</xdr:row>
      <xdr:rowOff>146538</xdr:rowOff>
    </xdr:from>
    <xdr:to>
      <xdr:col>0</xdr:col>
      <xdr:colOff>1693334</xdr:colOff>
      <xdr:row>3</xdr:row>
      <xdr:rowOff>604247</xdr:rowOff>
    </xdr:to>
    <xdr:pic>
      <xdr:nvPicPr>
        <xdr:cNvPr id="2" name="3 Imagen" descr="CG268.png">
          <a:extLst>
            <a:ext uri="{FF2B5EF4-FFF2-40B4-BE49-F238E27FC236}">
              <a16:creationId xmlns="" xmlns:a16="http://schemas.microsoft.com/office/drawing/2014/main" id="{EC1F3D85-EC3B-4E9B-99B5-E409E9288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481" y="146538"/>
          <a:ext cx="1086853" cy="634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kserver/COMPARTIDA%20PLANEACION%20Y%20SISTEMAS/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kserver/COMPARTIDA%20PLANEACION%20Y%20SISTEMAS/Users/mgomez/Documents/MARCELA%20IDT/INFORME%20AUDITORIA%20CI%20-%20SEP.%202017/DE-F06%20HV%20Indic%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H.V."/>
      <sheetName val="Instructivo"/>
      <sheetName val="Fuente"/>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AC79"/>
  <sheetViews>
    <sheetView tabSelected="1" topLeftCell="E1" zoomScale="89" zoomScaleNormal="76" zoomScaleSheetLayoutView="80" workbookViewId="0">
      <pane ySplit="4" topLeftCell="A5" activePane="bottomLeft" state="frozen"/>
      <selection pane="bottomLeft" activeCell="I12" sqref="I12"/>
    </sheetView>
  </sheetViews>
  <sheetFormatPr baseColWidth="10" defaultRowHeight="14" x14ac:dyDescent="0.15"/>
  <cols>
    <col min="1" max="1" width="42.5" style="54" customWidth="1"/>
    <col min="2" max="2" width="29.6640625" style="54" customWidth="1"/>
    <col min="3" max="3" width="32.5" style="54" customWidth="1"/>
    <col min="4" max="4" width="24.6640625" style="54" customWidth="1"/>
    <col min="5" max="5" width="35.33203125" style="54" customWidth="1"/>
    <col min="6" max="6" width="17.6640625" style="48" customWidth="1"/>
    <col min="7" max="7" width="30" style="48" customWidth="1"/>
    <col min="8" max="8" width="10.33203125" style="48" customWidth="1"/>
    <col min="9" max="9" width="20.1640625" style="48" customWidth="1"/>
    <col min="10" max="10" width="42.5" style="48" customWidth="1"/>
    <col min="11" max="11" width="23.5" style="55" customWidth="1"/>
    <col min="12" max="12" width="13.1640625" style="48" customWidth="1"/>
    <col min="13" max="13" width="12.5" style="48" customWidth="1"/>
    <col min="14" max="14" width="13.5" style="48" customWidth="1"/>
    <col min="15" max="15" width="16.5" style="55" customWidth="1"/>
    <col min="16" max="16" width="14.6640625" style="55" customWidth="1"/>
    <col min="17" max="17" width="13.5" style="48" customWidth="1"/>
    <col min="18" max="18" width="15.33203125" style="48" customWidth="1"/>
    <col min="19" max="22" width="16.33203125" style="48" customWidth="1"/>
    <col min="23" max="24" width="16.83203125" style="48" customWidth="1"/>
    <col min="25" max="25" width="132.5" style="48" customWidth="1"/>
    <col min="26" max="26" width="20.83203125" style="48" customWidth="1"/>
    <col min="27" max="249" width="10.83203125" style="48"/>
    <col min="250" max="250" width="20.5" style="48" customWidth="1"/>
    <col min="251" max="251" width="22" style="48" customWidth="1"/>
    <col min="252" max="252" width="25.33203125" style="48" customWidth="1"/>
    <col min="253" max="253" width="31" style="48" customWidth="1"/>
    <col min="254" max="254" width="16.6640625" style="48" customWidth="1"/>
    <col min="255" max="255" width="10.5" style="48" customWidth="1"/>
    <col min="256" max="256" width="22.83203125" style="48" customWidth="1"/>
    <col min="257" max="257" width="38.5" style="48" customWidth="1"/>
    <col min="258" max="258" width="20.5" style="48" customWidth="1"/>
    <col min="259" max="259" width="7.33203125" style="48" customWidth="1"/>
    <col min="260" max="260" width="7.1640625" style="48" customWidth="1"/>
    <col min="261" max="261" width="9.1640625" style="48" customWidth="1"/>
    <col min="262" max="262" width="9.5" style="48" customWidth="1"/>
    <col min="263" max="263" width="8.5" style="48" customWidth="1"/>
    <col min="264" max="267" width="12.1640625" style="48" bestFit="1" customWidth="1"/>
    <col min="268" max="268" width="11" style="48" bestFit="1" customWidth="1"/>
    <col min="269" max="269" width="15.33203125" style="48" customWidth="1"/>
    <col min="270" max="505" width="10.83203125" style="48"/>
    <col min="506" max="506" width="20.5" style="48" customWidth="1"/>
    <col min="507" max="507" width="22" style="48" customWidth="1"/>
    <col min="508" max="508" width="25.33203125" style="48" customWidth="1"/>
    <col min="509" max="509" width="31" style="48" customWidth="1"/>
    <col min="510" max="510" width="16.6640625" style="48" customWidth="1"/>
    <col min="511" max="511" width="10.5" style="48" customWidth="1"/>
    <col min="512" max="512" width="22.83203125" style="48" customWidth="1"/>
    <col min="513" max="513" width="38.5" style="48" customWidth="1"/>
    <col min="514" max="514" width="20.5" style="48" customWidth="1"/>
    <col min="515" max="515" width="7.33203125" style="48" customWidth="1"/>
    <col min="516" max="516" width="7.1640625" style="48" customWidth="1"/>
    <col min="517" max="517" width="9.1640625" style="48" customWidth="1"/>
    <col min="518" max="518" width="9.5" style="48" customWidth="1"/>
    <col min="519" max="519" width="8.5" style="48" customWidth="1"/>
    <col min="520" max="523" width="12.1640625" style="48" bestFit="1" customWidth="1"/>
    <col min="524" max="524" width="11" style="48" bestFit="1" customWidth="1"/>
    <col min="525" max="525" width="15.33203125" style="48" customWidth="1"/>
    <col min="526" max="761" width="10.83203125" style="48"/>
    <col min="762" max="762" width="20.5" style="48" customWidth="1"/>
    <col min="763" max="763" width="22" style="48" customWidth="1"/>
    <col min="764" max="764" width="25.33203125" style="48" customWidth="1"/>
    <col min="765" max="765" width="31" style="48" customWidth="1"/>
    <col min="766" max="766" width="16.6640625" style="48" customWidth="1"/>
    <col min="767" max="767" width="10.5" style="48" customWidth="1"/>
    <col min="768" max="768" width="22.83203125" style="48" customWidth="1"/>
    <col min="769" max="769" width="38.5" style="48" customWidth="1"/>
    <col min="770" max="770" width="20.5" style="48" customWidth="1"/>
    <col min="771" max="771" width="7.33203125" style="48" customWidth="1"/>
    <col min="772" max="772" width="7.1640625" style="48" customWidth="1"/>
    <col min="773" max="773" width="9.1640625" style="48" customWidth="1"/>
    <col min="774" max="774" width="9.5" style="48" customWidth="1"/>
    <col min="775" max="775" width="8.5" style="48" customWidth="1"/>
    <col min="776" max="779" width="12.1640625" style="48" bestFit="1" customWidth="1"/>
    <col min="780" max="780" width="11" style="48" bestFit="1" customWidth="1"/>
    <col min="781" max="781" width="15.33203125" style="48" customWidth="1"/>
    <col min="782" max="1017" width="10.83203125" style="48"/>
    <col min="1018" max="1018" width="20.5" style="48" customWidth="1"/>
    <col min="1019" max="1019" width="22" style="48" customWidth="1"/>
    <col min="1020" max="1020" width="25.33203125" style="48" customWidth="1"/>
    <col min="1021" max="1021" width="31" style="48" customWidth="1"/>
    <col min="1022" max="1022" width="16.6640625" style="48" customWidth="1"/>
    <col min="1023" max="1023" width="10.5" style="48" customWidth="1"/>
    <col min="1024" max="1024" width="22.83203125" style="48" customWidth="1"/>
    <col min="1025" max="1025" width="38.5" style="48" customWidth="1"/>
    <col min="1026" max="1026" width="20.5" style="48" customWidth="1"/>
    <col min="1027" max="1027" width="7.33203125" style="48" customWidth="1"/>
    <col min="1028" max="1028" width="7.1640625" style="48" customWidth="1"/>
    <col min="1029" max="1029" width="9.1640625" style="48" customWidth="1"/>
    <col min="1030" max="1030" width="9.5" style="48" customWidth="1"/>
    <col min="1031" max="1031" width="8.5" style="48" customWidth="1"/>
    <col min="1032" max="1035" width="12.1640625" style="48" bestFit="1" customWidth="1"/>
    <col min="1036" max="1036" width="11" style="48" bestFit="1" customWidth="1"/>
    <col min="1037" max="1037" width="15.33203125" style="48" customWidth="1"/>
    <col min="1038" max="1273" width="10.83203125" style="48"/>
    <col min="1274" max="1274" width="20.5" style="48" customWidth="1"/>
    <col min="1275" max="1275" width="22" style="48" customWidth="1"/>
    <col min="1276" max="1276" width="25.33203125" style="48" customWidth="1"/>
    <col min="1277" max="1277" width="31" style="48" customWidth="1"/>
    <col min="1278" max="1278" width="16.6640625" style="48" customWidth="1"/>
    <col min="1279" max="1279" width="10.5" style="48" customWidth="1"/>
    <col min="1280" max="1280" width="22.83203125" style="48" customWidth="1"/>
    <col min="1281" max="1281" width="38.5" style="48" customWidth="1"/>
    <col min="1282" max="1282" width="20.5" style="48" customWidth="1"/>
    <col min="1283" max="1283" width="7.33203125" style="48" customWidth="1"/>
    <col min="1284" max="1284" width="7.1640625" style="48" customWidth="1"/>
    <col min="1285" max="1285" width="9.1640625" style="48" customWidth="1"/>
    <col min="1286" max="1286" width="9.5" style="48" customWidth="1"/>
    <col min="1287" max="1287" width="8.5" style="48" customWidth="1"/>
    <col min="1288" max="1291" width="12.1640625" style="48" bestFit="1" customWidth="1"/>
    <col min="1292" max="1292" width="11" style="48" bestFit="1" customWidth="1"/>
    <col min="1293" max="1293" width="15.33203125" style="48" customWidth="1"/>
    <col min="1294" max="1529" width="10.83203125" style="48"/>
    <col min="1530" max="1530" width="20.5" style="48" customWidth="1"/>
    <col min="1531" max="1531" width="22" style="48" customWidth="1"/>
    <col min="1532" max="1532" width="25.33203125" style="48" customWidth="1"/>
    <col min="1533" max="1533" width="31" style="48" customWidth="1"/>
    <col min="1534" max="1534" width="16.6640625" style="48" customWidth="1"/>
    <col min="1535" max="1535" width="10.5" style="48" customWidth="1"/>
    <col min="1536" max="1536" width="22.83203125" style="48" customWidth="1"/>
    <col min="1537" max="1537" width="38.5" style="48" customWidth="1"/>
    <col min="1538" max="1538" width="20.5" style="48" customWidth="1"/>
    <col min="1539" max="1539" width="7.33203125" style="48" customWidth="1"/>
    <col min="1540" max="1540" width="7.1640625" style="48" customWidth="1"/>
    <col min="1541" max="1541" width="9.1640625" style="48" customWidth="1"/>
    <col min="1542" max="1542" width="9.5" style="48" customWidth="1"/>
    <col min="1543" max="1543" width="8.5" style="48" customWidth="1"/>
    <col min="1544" max="1547" width="12.1640625" style="48" bestFit="1" customWidth="1"/>
    <col min="1548" max="1548" width="11" style="48" bestFit="1" customWidth="1"/>
    <col min="1549" max="1549" width="15.33203125" style="48" customWidth="1"/>
    <col min="1550" max="1785" width="10.83203125" style="48"/>
    <col min="1786" max="1786" width="20.5" style="48" customWidth="1"/>
    <col min="1787" max="1787" width="22" style="48" customWidth="1"/>
    <col min="1788" max="1788" width="25.33203125" style="48" customWidth="1"/>
    <col min="1789" max="1789" width="31" style="48" customWidth="1"/>
    <col min="1790" max="1790" width="16.6640625" style="48" customWidth="1"/>
    <col min="1791" max="1791" width="10.5" style="48" customWidth="1"/>
    <col min="1792" max="1792" width="22.83203125" style="48" customWidth="1"/>
    <col min="1793" max="1793" width="38.5" style="48" customWidth="1"/>
    <col min="1794" max="1794" width="20.5" style="48" customWidth="1"/>
    <col min="1795" max="1795" width="7.33203125" style="48" customWidth="1"/>
    <col min="1796" max="1796" width="7.1640625" style="48" customWidth="1"/>
    <col min="1797" max="1797" width="9.1640625" style="48" customWidth="1"/>
    <col min="1798" max="1798" width="9.5" style="48" customWidth="1"/>
    <col min="1799" max="1799" width="8.5" style="48" customWidth="1"/>
    <col min="1800" max="1803" width="12.1640625" style="48" bestFit="1" customWidth="1"/>
    <col min="1804" max="1804" width="11" style="48" bestFit="1" customWidth="1"/>
    <col min="1805" max="1805" width="15.33203125" style="48" customWidth="1"/>
    <col min="1806" max="2041" width="10.83203125" style="48"/>
    <col min="2042" max="2042" width="20.5" style="48" customWidth="1"/>
    <col min="2043" max="2043" width="22" style="48" customWidth="1"/>
    <col min="2044" max="2044" width="25.33203125" style="48" customWidth="1"/>
    <col min="2045" max="2045" width="31" style="48" customWidth="1"/>
    <col min="2046" max="2046" width="16.6640625" style="48" customWidth="1"/>
    <col min="2047" max="2047" width="10.5" style="48" customWidth="1"/>
    <col min="2048" max="2048" width="22.83203125" style="48" customWidth="1"/>
    <col min="2049" max="2049" width="38.5" style="48" customWidth="1"/>
    <col min="2050" max="2050" width="20.5" style="48" customWidth="1"/>
    <col min="2051" max="2051" width="7.33203125" style="48" customWidth="1"/>
    <col min="2052" max="2052" width="7.1640625" style="48" customWidth="1"/>
    <col min="2053" max="2053" width="9.1640625" style="48" customWidth="1"/>
    <col min="2054" max="2054" width="9.5" style="48" customWidth="1"/>
    <col min="2055" max="2055" width="8.5" style="48" customWidth="1"/>
    <col min="2056" max="2059" width="12.1640625" style="48" bestFit="1" customWidth="1"/>
    <col min="2060" max="2060" width="11" style="48" bestFit="1" customWidth="1"/>
    <col min="2061" max="2061" width="15.33203125" style="48" customWidth="1"/>
    <col min="2062" max="2297" width="10.83203125" style="48"/>
    <col min="2298" max="2298" width="20.5" style="48" customWidth="1"/>
    <col min="2299" max="2299" width="22" style="48" customWidth="1"/>
    <col min="2300" max="2300" width="25.33203125" style="48" customWidth="1"/>
    <col min="2301" max="2301" width="31" style="48" customWidth="1"/>
    <col min="2302" max="2302" width="16.6640625" style="48" customWidth="1"/>
    <col min="2303" max="2303" width="10.5" style="48" customWidth="1"/>
    <col min="2304" max="2304" width="22.83203125" style="48" customWidth="1"/>
    <col min="2305" max="2305" width="38.5" style="48" customWidth="1"/>
    <col min="2306" max="2306" width="20.5" style="48" customWidth="1"/>
    <col min="2307" max="2307" width="7.33203125" style="48" customWidth="1"/>
    <col min="2308" max="2308" width="7.1640625" style="48" customWidth="1"/>
    <col min="2309" max="2309" width="9.1640625" style="48" customWidth="1"/>
    <col min="2310" max="2310" width="9.5" style="48" customWidth="1"/>
    <col min="2311" max="2311" width="8.5" style="48" customWidth="1"/>
    <col min="2312" max="2315" width="12.1640625" style="48" bestFit="1" customWidth="1"/>
    <col min="2316" max="2316" width="11" style="48" bestFit="1" customWidth="1"/>
    <col min="2317" max="2317" width="15.33203125" style="48" customWidth="1"/>
    <col min="2318" max="2553" width="10.83203125" style="48"/>
    <col min="2554" max="2554" width="20.5" style="48" customWidth="1"/>
    <col min="2555" max="2555" width="22" style="48" customWidth="1"/>
    <col min="2556" max="2556" width="25.33203125" style="48" customWidth="1"/>
    <col min="2557" max="2557" width="31" style="48" customWidth="1"/>
    <col min="2558" max="2558" width="16.6640625" style="48" customWidth="1"/>
    <col min="2559" max="2559" width="10.5" style="48" customWidth="1"/>
    <col min="2560" max="2560" width="22.83203125" style="48" customWidth="1"/>
    <col min="2561" max="2561" width="38.5" style="48" customWidth="1"/>
    <col min="2562" max="2562" width="20.5" style="48" customWidth="1"/>
    <col min="2563" max="2563" width="7.33203125" style="48" customWidth="1"/>
    <col min="2564" max="2564" width="7.1640625" style="48" customWidth="1"/>
    <col min="2565" max="2565" width="9.1640625" style="48" customWidth="1"/>
    <col min="2566" max="2566" width="9.5" style="48" customWidth="1"/>
    <col min="2567" max="2567" width="8.5" style="48" customWidth="1"/>
    <col min="2568" max="2571" width="12.1640625" style="48" bestFit="1" customWidth="1"/>
    <col min="2572" max="2572" width="11" style="48" bestFit="1" customWidth="1"/>
    <col min="2573" max="2573" width="15.33203125" style="48" customWidth="1"/>
    <col min="2574" max="2809" width="10.83203125" style="48"/>
    <col min="2810" max="2810" width="20.5" style="48" customWidth="1"/>
    <col min="2811" max="2811" width="22" style="48" customWidth="1"/>
    <col min="2812" max="2812" width="25.33203125" style="48" customWidth="1"/>
    <col min="2813" max="2813" width="31" style="48" customWidth="1"/>
    <col min="2814" max="2814" width="16.6640625" style="48" customWidth="1"/>
    <col min="2815" max="2815" width="10.5" style="48" customWidth="1"/>
    <col min="2816" max="2816" width="22.83203125" style="48" customWidth="1"/>
    <col min="2817" max="2817" width="38.5" style="48" customWidth="1"/>
    <col min="2818" max="2818" width="20.5" style="48" customWidth="1"/>
    <col min="2819" max="2819" width="7.33203125" style="48" customWidth="1"/>
    <col min="2820" max="2820" width="7.1640625" style="48" customWidth="1"/>
    <col min="2821" max="2821" width="9.1640625" style="48" customWidth="1"/>
    <col min="2822" max="2822" width="9.5" style="48" customWidth="1"/>
    <col min="2823" max="2823" width="8.5" style="48" customWidth="1"/>
    <col min="2824" max="2827" width="12.1640625" style="48" bestFit="1" customWidth="1"/>
    <col min="2828" max="2828" width="11" style="48" bestFit="1" customWidth="1"/>
    <col min="2829" max="2829" width="15.33203125" style="48" customWidth="1"/>
    <col min="2830" max="3065" width="10.83203125" style="48"/>
    <col min="3066" max="3066" width="20.5" style="48" customWidth="1"/>
    <col min="3067" max="3067" width="22" style="48" customWidth="1"/>
    <col min="3068" max="3068" width="25.33203125" style="48" customWidth="1"/>
    <col min="3069" max="3069" width="31" style="48" customWidth="1"/>
    <col min="3070" max="3070" width="16.6640625" style="48" customWidth="1"/>
    <col min="3071" max="3071" width="10.5" style="48" customWidth="1"/>
    <col min="3072" max="3072" width="22.83203125" style="48" customWidth="1"/>
    <col min="3073" max="3073" width="38.5" style="48" customWidth="1"/>
    <col min="3074" max="3074" width="20.5" style="48" customWidth="1"/>
    <col min="3075" max="3075" width="7.33203125" style="48" customWidth="1"/>
    <col min="3076" max="3076" width="7.1640625" style="48" customWidth="1"/>
    <col min="3077" max="3077" width="9.1640625" style="48" customWidth="1"/>
    <col min="3078" max="3078" width="9.5" style="48" customWidth="1"/>
    <col min="3079" max="3079" width="8.5" style="48" customWidth="1"/>
    <col min="3080" max="3083" width="12.1640625" style="48" bestFit="1" customWidth="1"/>
    <col min="3084" max="3084" width="11" style="48" bestFit="1" customWidth="1"/>
    <col min="3085" max="3085" width="15.33203125" style="48" customWidth="1"/>
    <col min="3086" max="3321" width="10.83203125" style="48"/>
    <col min="3322" max="3322" width="20.5" style="48" customWidth="1"/>
    <col min="3323" max="3323" width="22" style="48" customWidth="1"/>
    <col min="3324" max="3324" width="25.33203125" style="48" customWidth="1"/>
    <col min="3325" max="3325" width="31" style="48" customWidth="1"/>
    <col min="3326" max="3326" width="16.6640625" style="48" customWidth="1"/>
    <col min="3327" max="3327" width="10.5" style="48" customWidth="1"/>
    <col min="3328" max="3328" width="22.83203125" style="48" customWidth="1"/>
    <col min="3329" max="3329" width="38.5" style="48" customWidth="1"/>
    <col min="3330" max="3330" width="20.5" style="48" customWidth="1"/>
    <col min="3331" max="3331" width="7.33203125" style="48" customWidth="1"/>
    <col min="3332" max="3332" width="7.1640625" style="48" customWidth="1"/>
    <col min="3333" max="3333" width="9.1640625" style="48" customWidth="1"/>
    <col min="3334" max="3334" width="9.5" style="48" customWidth="1"/>
    <col min="3335" max="3335" width="8.5" style="48" customWidth="1"/>
    <col min="3336" max="3339" width="12.1640625" style="48" bestFit="1" customWidth="1"/>
    <col min="3340" max="3340" width="11" style="48" bestFit="1" customWidth="1"/>
    <col min="3341" max="3341" width="15.33203125" style="48" customWidth="1"/>
    <col min="3342" max="3577" width="10.83203125" style="48"/>
    <col min="3578" max="3578" width="20.5" style="48" customWidth="1"/>
    <col min="3579" max="3579" width="22" style="48" customWidth="1"/>
    <col min="3580" max="3580" width="25.33203125" style="48" customWidth="1"/>
    <col min="3581" max="3581" width="31" style="48" customWidth="1"/>
    <col min="3582" max="3582" width="16.6640625" style="48" customWidth="1"/>
    <col min="3583" max="3583" width="10.5" style="48" customWidth="1"/>
    <col min="3584" max="3584" width="22.83203125" style="48" customWidth="1"/>
    <col min="3585" max="3585" width="38.5" style="48" customWidth="1"/>
    <col min="3586" max="3586" width="20.5" style="48" customWidth="1"/>
    <col min="3587" max="3587" width="7.33203125" style="48" customWidth="1"/>
    <col min="3588" max="3588" width="7.1640625" style="48" customWidth="1"/>
    <col min="3589" max="3589" width="9.1640625" style="48" customWidth="1"/>
    <col min="3590" max="3590" width="9.5" style="48" customWidth="1"/>
    <col min="3591" max="3591" width="8.5" style="48" customWidth="1"/>
    <col min="3592" max="3595" width="12.1640625" style="48" bestFit="1" customWidth="1"/>
    <col min="3596" max="3596" width="11" style="48" bestFit="1" customWidth="1"/>
    <col min="3597" max="3597" width="15.33203125" style="48" customWidth="1"/>
    <col min="3598" max="3833" width="10.83203125" style="48"/>
    <col min="3834" max="3834" width="20.5" style="48" customWidth="1"/>
    <col min="3835" max="3835" width="22" style="48" customWidth="1"/>
    <col min="3836" max="3836" width="25.33203125" style="48" customWidth="1"/>
    <col min="3837" max="3837" width="31" style="48" customWidth="1"/>
    <col min="3838" max="3838" width="16.6640625" style="48" customWidth="1"/>
    <col min="3839" max="3839" width="10.5" style="48" customWidth="1"/>
    <col min="3840" max="3840" width="22.83203125" style="48" customWidth="1"/>
    <col min="3841" max="3841" width="38.5" style="48" customWidth="1"/>
    <col min="3842" max="3842" width="20.5" style="48" customWidth="1"/>
    <col min="3843" max="3843" width="7.33203125" style="48" customWidth="1"/>
    <col min="3844" max="3844" width="7.1640625" style="48" customWidth="1"/>
    <col min="3845" max="3845" width="9.1640625" style="48" customWidth="1"/>
    <col min="3846" max="3846" width="9.5" style="48" customWidth="1"/>
    <col min="3847" max="3847" width="8.5" style="48" customWidth="1"/>
    <col min="3848" max="3851" width="12.1640625" style="48" bestFit="1" customWidth="1"/>
    <col min="3852" max="3852" width="11" style="48" bestFit="1" customWidth="1"/>
    <col min="3853" max="3853" width="15.33203125" style="48" customWidth="1"/>
    <col min="3854" max="4089" width="10.83203125" style="48"/>
    <col min="4090" max="4090" width="20.5" style="48" customWidth="1"/>
    <col min="4091" max="4091" width="22" style="48" customWidth="1"/>
    <col min="4092" max="4092" width="25.33203125" style="48" customWidth="1"/>
    <col min="4093" max="4093" width="31" style="48" customWidth="1"/>
    <col min="4094" max="4094" width="16.6640625" style="48" customWidth="1"/>
    <col min="4095" max="4095" width="10.5" style="48" customWidth="1"/>
    <col min="4096" max="4096" width="22.83203125" style="48" customWidth="1"/>
    <col min="4097" max="4097" width="38.5" style="48" customWidth="1"/>
    <col min="4098" max="4098" width="20.5" style="48" customWidth="1"/>
    <col min="4099" max="4099" width="7.33203125" style="48" customWidth="1"/>
    <col min="4100" max="4100" width="7.1640625" style="48" customWidth="1"/>
    <col min="4101" max="4101" width="9.1640625" style="48" customWidth="1"/>
    <col min="4102" max="4102" width="9.5" style="48" customWidth="1"/>
    <col min="4103" max="4103" width="8.5" style="48" customWidth="1"/>
    <col min="4104" max="4107" width="12.1640625" style="48" bestFit="1" customWidth="1"/>
    <col min="4108" max="4108" width="11" style="48" bestFit="1" customWidth="1"/>
    <col min="4109" max="4109" width="15.33203125" style="48" customWidth="1"/>
    <col min="4110" max="4345" width="10.83203125" style="48"/>
    <col min="4346" max="4346" width="20.5" style="48" customWidth="1"/>
    <col min="4347" max="4347" width="22" style="48" customWidth="1"/>
    <col min="4348" max="4348" width="25.33203125" style="48" customWidth="1"/>
    <col min="4349" max="4349" width="31" style="48" customWidth="1"/>
    <col min="4350" max="4350" width="16.6640625" style="48" customWidth="1"/>
    <col min="4351" max="4351" width="10.5" style="48" customWidth="1"/>
    <col min="4352" max="4352" width="22.83203125" style="48" customWidth="1"/>
    <col min="4353" max="4353" width="38.5" style="48" customWidth="1"/>
    <col min="4354" max="4354" width="20.5" style="48" customWidth="1"/>
    <col min="4355" max="4355" width="7.33203125" style="48" customWidth="1"/>
    <col min="4356" max="4356" width="7.1640625" style="48" customWidth="1"/>
    <col min="4357" max="4357" width="9.1640625" style="48" customWidth="1"/>
    <col min="4358" max="4358" width="9.5" style="48" customWidth="1"/>
    <col min="4359" max="4359" width="8.5" style="48" customWidth="1"/>
    <col min="4360" max="4363" width="12.1640625" style="48" bestFit="1" customWidth="1"/>
    <col min="4364" max="4364" width="11" style="48" bestFit="1" customWidth="1"/>
    <col min="4365" max="4365" width="15.33203125" style="48" customWidth="1"/>
    <col min="4366" max="4601" width="10.83203125" style="48"/>
    <col min="4602" max="4602" width="20.5" style="48" customWidth="1"/>
    <col min="4603" max="4603" width="22" style="48" customWidth="1"/>
    <col min="4604" max="4604" width="25.33203125" style="48" customWidth="1"/>
    <col min="4605" max="4605" width="31" style="48" customWidth="1"/>
    <col min="4606" max="4606" width="16.6640625" style="48" customWidth="1"/>
    <col min="4607" max="4607" width="10.5" style="48" customWidth="1"/>
    <col min="4608" max="4608" width="22.83203125" style="48" customWidth="1"/>
    <col min="4609" max="4609" width="38.5" style="48" customWidth="1"/>
    <col min="4610" max="4610" width="20.5" style="48" customWidth="1"/>
    <col min="4611" max="4611" width="7.33203125" style="48" customWidth="1"/>
    <col min="4612" max="4612" width="7.1640625" style="48" customWidth="1"/>
    <col min="4613" max="4613" width="9.1640625" style="48" customWidth="1"/>
    <col min="4614" max="4614" width="9.5" style="48" customWidth="1"/>
    <col min="4615" max="4615" width="8.5" style="48" customWidth="1"/>
    <col min="4616" max="4619" width="12.1640625" style="48" bestFit="1" customWidth="1"/>
    <col min="4620" max="4620" width="11" style="48" bestFit="1" customWidth="1"/>
    <col min="4621" max="4621" width="15.33203125" style="48" customWidth="1"/>
    <col min="4622" max="4857" width="10.83203125" style="48"/>
    <col min="4858" max="4858" width="20.5" style="48" customWidth="1"/>
    <col min="4859" max="4859" width="22" style="48" customWidth="1"/>
    <col min="4860" max="4860" width="25.33203125" style="48" customWidth="1"/>
    <col min="4861" max="4861" width="31" style="48" customWidth="1"/>
    <col min="4862" max="4862" width="16.6640625" style="48" customWidth="1"/>
    <col min="4863" max="4863" width="10.5" style="48" customWidth="1"/>
    <col min="4864" max="4864" width="22.83203125" style="48" customWidth="1"/>
    <col min="4865" max="4865" width="38.5" style="48" customWidth="1"/>
    <col min="4866" max="4866" width="20.5" style="48" customWidth="1"/>
    <col min="4867" max="4867" width="7.33203125" style="48" customWidth="1"/>
    <col min="4868" max="4868" width="7.1640625" style="48" customWidth="1"/>
    <col min="4869" max="4869" width="9.1640625" style="48" customWidth="1"/>
    <col min="4870" max="4870" width="9.5" style="48" customWidth="1"/>
    <col min="4871" max="4871" width="8.5" style="48" customWidth="1"/>
    <col min="4872" max="4875" width="12.1640625" style="48" bestFit="1" customWidth="1"/>
    <col min="4876" max="4876" width="11" style="48" bestFit="1" customWidth="1"/>
    <col min="4877" max="4877" width="15.33203125" style="48" customWidth="1"/>
    <col min="4878" max="5113" width="10.83203125" style="48"/>
    <col min="5114" max="5114" width="20.5" style="48" customWidth="1"/>
    <col min="5115" max="5115" width="22" style="48" customWidth="1"/>
    <col min="5116" max="5116" width="25.33203125" style="48" customWidth="1"/>
    <col min="5117" max="5117" width="31" style="48" customWidth="1"/>
    <col min="5118" max="5118" width="16.6640625" style="48" customWidth="1"/>
    <col min="5119" max="5119" width="10.5" style="48" customWidth="1"/>
    <col min="5120" max="5120" width="22.83203125" style="48" customWidth="1"/>
    <col min="5121" max="5121" width="38.5" style="48" customWidth="1"/>
    <col min="5122" max="5122" width="20.5" style="48" customWidth="1"/>
    <col min="5123" max="5123" width="7.33203125" style="48" customWidth="1"/>
    <col min="5124" max="5124" width="7.1640625" style="48" customWidth="1"/>
    <col min="5125" max="5125" width="9.1640625" style="48" customWidth="1"/>
    <col min="5126" max="5126" width="9.5" style="48" customWidth="1"/>
    <col min="5127" max="5127" width="8.5" style="48" customWidth="1"/>
    <col min="5128" max="5131" width="12.1640625" style="48" bestFit="1" customWidth="1"/>
    <col min="5132" max="5132" width="11" style="48" bestFit="1" customWidth="1"/>
    <col min="5133" max="5133" width="15.33203125" style="48" customWidth="1"/>
    <col min="5134" max="5369" width="10.83203125" style="48"/>
    <col min="5370" max="5370" width="20.5" style="48" customWidth="1"/>
    <col min="5371" max="5371" width="22" style="48" customWidth="1"/>
    <col min="5372" max="5372" width="25.33203125" style="48" customWidth="1"/>
    <col min="5373" max="5373" width="31" style="48" customWidth="1"/>
    <col min="5374" max="5374" width="16.6640625" style="48" customWidth="1"/>
    <col min="5375" max="5375" width="10.5" style="48" customWidth="1"/>
    <col min="5376" max="5376" width="22.83203125" style="48" customWidth="1"/>
    <col min="5377" max="5377" width="38.5" style="48" customWidth="1"/>
    <col min="5378" max="5378" width="20.5" style="48" customWidth="1"/>
    <col min="5379" max="5379" width="7.33203125" style="48" customWidth="1"/>
    <col min="5380" max="5380" width="7.1640625" style="48" customWidth="1"/>
    <col min="5381" max="5381" width="9.1640625" style="48" customWidth="1"/>
    <col min="5382" max="5382" width="9.5" style="48" customWidth="1"/>
    <col min="5383" max="5383" width="8.5" style="48" customWidth="1"/>
    <col min="5384" max="5387" width="12.1640625" style="48" bestFit="1" customWidth="1"/>
    <col min="5388" max="5388" width="11" style="48" bestFit="1" customWidth="1"/>
    <col min="5389" max="5389" width="15.33203125" style="48" customWidth="1"/>
    <col min="5390" max="5625" width="10.83203125" style="48"/>
    <col min="5626" max="5626" width="20.5" style="48" customWidth="1"/>
    <col min="5627" max="5627" width="22" style="48" customWidth="1"/>
    <col min="5628" max="5628" width="25.33203125" style="48" customWidth="1"/>
    <col min="5629" max="5629" width="31" style="48" customWidth="1"/>
    <col min="5630" max="5630" width="16.6640625" style="48" customWidth="1"/>
    <col min="5631" max="5631" width="10.5" style="48" customWidth="1"/>
    <col min="5632" max="5632" width="22.83203125" style="48" customWidth="1"/>
    <col min="5633" max="5633" width="38.5" style="48" customWidth="1"/>
    <col min="5634" max="5634" width="20.5" style="48" customWidth="1"/>
    <col min="5635" max="5635" width="7.33203125" style="48" customWidth="1"/>
    <col min="5636" max="5636" width="7.1640625" style="48" customWidth="1"/>
    <col min="5637" max="5637" width="9.1640625" style="48" customWidth="1"/>
    <col min="5638" max="5638" width="9.5" style="48" customWidth="1"/>
    <col min="5639" max="5639" width="8.5" style="48" customWidth="1"/>
    <col min="5640" max="5643" width="12.1640625" style="48" bestFit="1" customWidth="1"/>
    <col min="5644" max="5644" width="11" style="48" bestFit="1" customWidth="1"/>
    <col min="5645" max="5645" width="15.33203125" style="48" customWidth="1"/>
    <col min="5646" max="5881" width="10.83203125" style="48"/>
    <col min="5882" max="5882" width="20.5" style="48" customWidth="1"/>
    <col min="5883" max="5883" width="22" style="48" customWidth="1"/>
    <col min="5884" max="5884" width="25.33203125" style="48" customWidth="1"/>
    <col min="5885" max="5885" width="31" style="48" customWidth="1"/>
    <col min="5886" max="5886" width="16.6640625" style="48" customWidth="1"/>
    <col min="5887" max="5887" width="10.5" style="48" customWidth="1"/>
    <col min="5888" max="5888" width="22.83203125" style="48" customWidth="1"/>
    <col min="5889" max="5889" width="38.5" style="48" customWidth="1"/>
    <col min="5890" max="5890" width="20.5" style="48" customWidth="1"/>
    <col min="5891" max="5891" width="7.33203125" style="48" customWidth="1"/>
    <col min="5892" max="5892" width="7.1640625" style="48" customWidth="1"/>
    <col min="5893" max="5893" width="9.1640625" style="48" customWidth="1"/>
    <col min="5894" max="5894" width="9.5" style="48" customWidth="1"/>
    <col min="5895" max="5895" width="8.5" style="48" customWidth="1"/>
    <col min="5896" max="5899" width="12.1640625" style="48" bestFit="1" customWidth="1"/>
    <col min="5900" max="5900" width="11" style="48" bestFit="1" customWidth="1"/>
    <col min="5901" max="5901" width="15.33203125" style="48" customWidth="1"/>
    <col min="5902" max="6137" width="10.83203125" style="48"/>
    <col min="6138" max="6138" width="20.5" style="48" customWidth="1"/>
    <col min="6139" max="6139" width="22" style="48" customWidth="1"/>
    <col min="6140" max="6140" width="25.33203125" style="48" customWidth="1"/>
    <col min="6141" max="6141" width="31" style="48" customWidth="1"/>
    <col min="6142" max="6142" width="16.6640625" style="48" customWidth="1"/>
    <col min="6143" max="6143" width="10.5" style="48" customWidth="1"/>
    <col min="6144" max="6144" width="22.83203125" style="48" customWidth="1"/>
    <col min="6145" max="6145" width="38.5" style="48" customWidth="1"/>
    <col min="6146" max="6146" width="20.5" style="48" customWidth="1"/>
    <col min="6147" max="6147" width="7.33203125" style="48" customWidth="1"/>
    <col min="6148" max="6148" width="7.1640625" style="48" customWidth="1"/>
    <col min="6149" max="6149" width="9.1640625" style="48" customWidth="1"/>
    <col min="6150" max="6150" width="9.5" style="48" customWidth="1"/>
    <col min="6151" max="6151" width="8.5" style="48" customWidth="1"/>
    <col min="6152" max="6155" width="12.1640625" style="48" bestFit="1" customWidth="1"/>
    <col min="6156" max="6156" width="11" style="48" bestFit="1" customWidth="1"/>
    <col min="6157" max="6157" width="15.33203125" style="48" customWidth="1"/>
    <col min="6158" max="6393" width="10.83203125" style="48"/>
    <col min="6394" max="6394" width="20.5" style="48" customWidth="1"/>
    <col min="6395" max="6395" width="22" style="48" customWidth="1"/>
    <col min="6396" max="6396" width="25.33203125" style="48" customWidth="1"/>
    <col min="6397" max="6397" width="31" style="48" customWidth="1"/>
    <col min="6398" max="6398" width="16.6640625" style="48" customWidth="1"/>
    <col min="6399" max="6399" width="10.5" style="48" customWidth="1"/>
    <col min="6400" max="6400" width="22.83203125" style="48" customWidth="1"/>
    <col min="6401" max="6401" width="38.5" style="48" customWidth="1"/>
    <col min="6402" max="6402" width="20.5" style="48" customWidth="1"/>
    <col min="6403" max="6403" width="7.33203125" style="48" customWidth="1"/>
    <col min="6404" max="6404" width="7.1640625" style="48" customWidth="1"/>
    <col min="6405" max="6405" width="9.1640625" style="48" customWidth="1"/>
    <col min="6406" max="6406" width="9.5" style="48" customWidth="1"/>
    <col min="6407" max="6407" width="8.5" style="48" customWidth="1"/>
    <col min="6408" max="6411" width="12.1640625" style="48" bestFit="1" customWidth="1"/>
    <col min="6412" max="6412" width="11" style="48" bestFit="1" customWidth="1"/>
    <col min="6413" max="6413" width="15.33203125" style="48" customWidth="1"/>
    <col min="6414" max="6649" width="10.83203125" style="48"/>
    <col min="6650" max="6650" width="20.5" style="48" customWidth="1"/>
    <col min="6651" max="6651" width="22" style="48" customWidth="1"/>
    <col min="6652" max="6652" width="25.33203125" style="48" customWidth="1"/>
    <col min="6653" max="6653" width="31" style="48" customWidth="1"/>
    <col min="6654" max="6654" width="16.6640625" style="48" customWidth="1"/>
    <col min="6655" max="6655" width="10.5" style="48" customWidth="1"/>
    <col min="6656" max="6656" width="22.83203125" style="48" customWidth="1"/>
    <col min="6657" max="6657" width="38.5" style="48" customWidth="1"/>
    <col min="6658" max="6658" width="20.5" style="48" customWidth="1"/>
    <col min="6659" max="6659" width="7.33203125" style="48" customWidth="1"/>
    <col min="6660" max="6660" width="7.1640625" style="48" customWidth="1"/>
    <col min="6661" max="6661" width="9.1640625" style="48" customWidth="1"/>
    <col min="6662" max="6662" width="9.5" style="48" customWidth="1"/>
    <col min="6663" max="6663" width="8.5" style="48" customWidth="1"/>
    <col min="6664" max="6667" width="12.1640625" style="48" bestFit="1" customWidth="1"/>
    <col min="6668" max="6668" width="11" style="48" bestFit="1" customWidth="1"/>
    <col min="6669" max="6669" width="15.33203125" style="48" customWidth="1"/>
    <col min="6670" max="6905" width="10.83203125" style="48"/>
    <col min="6906" max="6906" width="20.5" style="48" customWidth="1"/>
    <col min="6907" max="6907" width="22" style="48" customWidth="1"/>
    <col min="6908" max="6908" width="25.33203125" style="48" customWidth="1"/>
    <col min="6909" max="6909" width="31" style="48" customWidth="1"/>
    <col min="6910" max="6910" width="16.6640625" style="48" customWidth="1"/>
    <col min="6911" max="6911" width="10.5" style="48" customWidth="1"/>
    <col min="6912" max="6912" width="22.83203125" style="48" customWidth="1"/>
    <col min="6913" max="6913" width="38.5" style="48" customWidth="1"/>
    <col min="6914" max="6914" width="20.5" style="48" customWidth="1"/>
    <col min="6915" max="6915" width="7.33203125" style="48" customWidth="1"/>
    <col min="6916" max="6916" width="7.1640625" style="48" customWidth="1"/>
    <col min="6917" max="6917" width="9.1640625" style="48" customWidth="1"/>
    <col min="6918" max="6918" width="9.5" style="48" customWidth="1"/>
    <col min="6919" max="6919" width="8.5" style="48" customWidth="1"/>
    <col min="6920" max="6923" width="12.1640625" style="48" bestFit="1" customWidth="1"/>
    <col min="6924" max="6924" width="11" style="48" bestFit="1" customWidth="1"/>
    <col min="6925" max="6925" width="15.33203125" style="48" customWidth="1"/>
    <col min="6926" max="7161" width="10.83203125" style="48"/>
    <col min="7162" max="7162" width="20.5" style="48" customWidth="1"/>
    <col min="7163" max="7163" width="22" style="48" customWidth="1"/>
    <col min="7164" max="7164" width="25.33203125" style="48" customWidth="1"/>
    <col min="7165" max="7165" width="31" style="48" customWidth="1"/>
    <col min="7166" max="7166" width="16.6640625" style="48" customWidth="1"/>
    <col min="7167" max="7167" width="10.5" style="48" customWidth="1"/>
    <col min="7168" max="7168" width="22.83203125" style="48" customWidth="1"/>
    <col min="7169" max="7169" width="38.5" style="48" customWidth="1"/>
    <col min="7170" max="7170" width="20.5" style="48" customWidth="1"/>
    <col min="7171" max="7171" width="7.33203125" style="48" customWidth="1"/>
    <col min="7172" max="7172" width="7.1640625" style="48" customWidth="1"/>
    <col min="7173" max="7173" width="9.1640625" style="48" customWidth="1"/>
    <col min="7174" max="7174" width="9.5" style="48" customWidth="1"/>
    <col min="7175" max="7175" width="8.5" style="48" customWidth="1"/>
    <col min="7176" max="7179" width="12.1640625" style="48" bestFit="1" customWidth="1"/>
    <col min="7180" max="7180" width="11" style="48" bestFit="1" customWidth="1"/>
    <col min="7181" max="7181" width="15.33203125" style="48" customWidth="1"/>
    <col min="7182" max="7417" width="10.83203125" style="48"/>
    <col min="7418" max="7418" width="20.5" style="48" customWidth="1"/>
    <col min="7419" max="7419" width="22" style="48" customWidth="1"/>
    <col min="7420" max="7420" width="25.33203125" style="48" customWidth="1"/>
    <col min="7421" max="7421" width="31" style="48" customWidth="1"/>
    <col min="7422" max="7422" width="16.6640625" style="48" customWidth="1"/>
    <col min="7423" max="7423" width="10.5" style="48" customWidth="1"/>
    <col min="7424" max="7424" width="22.83203125" style="48" customWidth="1"/>
    <col min="7425" max="7425" width="38.5" style="48" customWidth="1"/>
    <col min="7426" max="7426" width="20.5" style="48" customWidth="1"/>
    <col min="7427" max="7427" width="7.33203125" style="48" customWidth="1"/>
    <col min="7428" max="7428" width="7.1640625" style="48" customWidth="1"/>
    <col min="7429" max="7429" width="9.1640625" style="48" customWidth="1"/>
    <col min="7430" max="7430" width="9.5" style="48" customWidth="1"/>
    <col min="7431" max="7431" width="8.5" style="48" customWidth="1"/>
    <col min="7432" max="7435" width="12.1640625" style="48" bestFit="1" customWidth="1"/>
    <col min="7436" max="7436" width="11" style="48" bestFit="1" customWidth="1"/>
    <col min="7437" max="7437" width="15.33203125" style="48" customWidth="1"/>
    <col min="7438" max="7673" width="10.83203125" style="48"/>
    <col min="7674" max="7674" width="20.5" style="48" customWidth="1"/>
    <col min="7675" max="7675" width="22" style="48" customWidth="1"/>
    <col min="7676" max="7676" width="25.33203125" style="48" customWidth="1"/>
    <col min="7677" max="7677" width="31" style="48" customWidth="1"/>
    <col min="7678" max="7678" width="16.6640625" style="48" customWidth="1"/>
    <col min="7679" max="7679" width="10.5" style="48" customWidth="1"/>
    <col min="7680" max="7680" width="22.83203125" style="48" customWidth="1"/>
    <col min="7681" max="7681" width="38.5" style="48" customWidth="1"/>
    <col min="7682" max="7682" width="20.5" style="48" customWidth="1"/>
    <col min="7683" max="7683" width="7.33203125" style="48" customWidth="1"/>
    <col min="7684" max="7684" width="7.1640625" style="48" customWidth="1"/>
    <col min="7685" max="7685" width="9.1640625" style="48" customWidth="1"/>
    <col min="7686" max="7686" width="9.5" style="48" customWidth="1"/>
    <col min="7687" max="7687" width="8.5" style="48" customWidth="1"/>
    <col min="7688" max="7691" width="12.1640625" style="48" bestFit="1" customWidth="1"/>
    <col min="7692" max="7692" width="11" style="48" bestFit="1" customWidth="1"/>
    <col min="7693" max="7693" width="15.33203125" style="48" customWidth="1"/>
    <col min="7694" max="7929" width="10.83203125" style="48"/>
    <col min="7930" max="7930" width="20.5" style="48" customWidth="1"/>
    <col min="7931" max="7931" width="22" style="48" customWidth="1"/>
    <col min="7932" max="7932" width="25.33203125" style="48" customWidth="1"/>
    <col min="7933" max="7933" width="31" style="48" customWidth="1"/>
    <col min="7934" max="7934" width="16.6640625" style="48" customWidth="1"/>
    <col min="7935" max="7935" width="10.5" style="48" customWidth="1"/>
    <col min="7936" max="7936" width="22.83203125" style="48" customWidth="1"/>
    <col min="7937" max="7937" width="38.5" style="48" customWidth="1"/>
    <col min="7938" max="7938" width="20.5" style="48" customWidth="1"/>
    <col min="7939" max="7939" width="7.33203125" style="48" customWidth="1"/>
    <col min="7940" max="7940" width="7.1640625" style="48" customWidth="1"/>
    <col min="7941" max="7941" width="9.1640625" style="48" customWidth="1"/>
    <col min="7942" max="7942" width="9.5" style="48" customWidth="1"/>
    <col min="7943" max="7943" width="8.5" style="48" customWidth="1"/>
    <col min="7944" max="7947" width="12.1640625" style="48" bestFit="1" customWidth="1"/>
    <col min="7948" max="7948" width="11" style="48" bestFit="1" customWidth="1"/>
    <col min="7949" max="7949" width="15.33203125" style="48" customWidth="1"/>
    <col min="7950" max="8185" width="10.83203125" style="48"/>
    <col min="8186" max="8186" width="20.5" style="48" customWidth="1"/>
    <col min="8187" max="8187" width="22" style="48" customWidth="1"/>
    <col min="8188" max="8188" width="25.33203125" style="48" customWidth="1"/>
    <col min="8189" max="8189" width="31" style="48" customWidth="1"/>
    <col min="8190" max="8190" width="16.6640625" style="48" customWidth="1"/>
    <col min="8191" max="8191" width="10.5" style="48" customWidth="1"/>
    <col min="8192" max="8192" width="22.83203125" style="48" customWidth="1"/>
    <col min="8193" max="8193" width="38.5" style="48" customWidth="1"/>
    <col min="8194" max="8194" width="20.5" style="48" customWidth="1"/>
    <col min="8195" max="8195" width="7.33203125" style="48" customWidth="1"/>
    <col min="8196" max="8196" width="7.1640625" style="48" customWidth="1"/>
    <col min="8197" max="8197" width="9.1640625" style="48" customWidth="1"/>
    <col min="8198" max="8198" width="9.5" style="48" customWidth="1"/>
    <col min="8199" max="8199" width="8.5" style="48" customWidth="1"/>
    <col min="8200" max="8203" width="12.1640625" style="48" bestFit="1" customWidth="1"/>
    <col min="8204" max="8204" width="11" style="48" bestFit="1" customWidth="1"/>
    <col min="8205" max="8205" width="15.33203125" style="48" customWidth="1"/>
    <col min="8206" max="8441" width="10.83203125" style="48"/>
    <col min="8442" max="8442" width="20.5" style="48" customWidth="1"/>
    <col min="8443" max="8443" width="22" style="48" customWidth="1"/>
    <col min="8444" max="8444" width="25.33203125" style="48" customWidth="1"/>
    <col min="8445" max="8445" width="31" style="48" customWidth="1"/>
    <col min="8446" max="8446" width="16.6640625" style="48" customWidth="1"/>
    <col min="8447" max="8447" width="10.5" style="48" customWidth="1"/>
    <col min="8448" max="8448" width="22.83203125" style="48" customWidth="1"/>
    <col min="8449" max="8449" width="38.5" style="48" customWidth="1"/>
    <col min="8450" max="8450" width="20.5" style="48" customWidth="1"/>
    <col min="8451" max="8451" width="7.33203125" style="48" customWidth="1"/>
    <col min="8452" max="8452" width="7.1640625" style="48" customWidth="1"/>
    <col min="8453" max="8453" width="9.1640625" style="48" customWidth="1"/>
    <col min="8454" max="8454" width="9.5" style="48" customWidth="1"/>
    <col min="8455" max="8455" width="8.5" style="48" customWidth="1"/>
    <col min="8456" max="8459" width="12.1640625" style="48" bestFit="1" customWidth="1"/>
    <col min="8460" max="8460" width="11" style="48" bestFit="1" customWidth="1"/>
    <col min="8461" max="8461" width="15.33203125" style="48" customWidth="1"/>
    <col min="8462" max="8697" width="10.83203125" style="48"/>
    <col min="8698" max="8698" width="20.5" style="48" customWidth="1"/>
    <col min="8699" max="8699" width="22" style="48" customWidth="1"/>
    <col min="8700" max="8700" width="25.33203125" style="48" customWidth="1"/>
    <col min="8701" max="8701" width="31" style="48" customWidth="1"/>
    <col min="8702" max="8702" width="16.6640625" style="48" customWidth="1"/>
    <col min="8703" max="8703" width="10.5" style="48" customWidth="1"/>
    <col min="8704" max="8704" width="22.83203125" style="48" customWidth="1"/>
    <col min="8705" max="8705" width="38.5" style="48" customWidth="1"/>
    <col min="8706" max="8706" width="20.5" style="48" customWidth="1"/>
    <col min="8707" max="8707" width="7.33203125" style="48" customWidth="1"/>
    <col min="8708" max="8708" width="7.1640625" style="48" customWidth="1"/>
    <col min="8709" max="8709" width="9.1640625" style="48" customWidth="1"/>
    <col min="8710" max="8710" width="9.5" style="48" customWidth="1"/>
    <col min="8711" max="8711" width="8.5" style="48" customWidth="1"/>
    <col min="8712" max="8715" width="12.1640625" style="48" bestFit="1" customWidth="1"/>
    <col min="8716" max="8716" width="11" style="48" bestFit="1" customWidth="1"/>
    <col min="8717" max="8717" width="15.33203125" style="48" customWidth="1"/>
    <col min="8718" max="8953" width="10.83203125" style="48"/>
    <col min="8954" max="8954" width="20.5" style="48" customWidth="1"/>
    <col min="8955" max="8955" width="22" style="48" customWidth="1"/>
    <col min="8956" max="8956" width="25.33203125" style="48" customWidth="1"/>
    <col min="8957" max="8957" width="31" style="48" customWidth="1"/>
    <col min="8958" max="8958" width="16.6640625" style="48" customWidth="1"/>
    <col min="8959" max="8959" width="10.5" style="48" customWidth="1"/>
    <col min="8960" max="8960" width="22.83203125" style="48" customWidth="1"/>
    <col min="8961" max="8961" width="38.5" style="48" customWidth="1"/>
    <col min="8962" max="8962" width="20.5" style="48" customWidth="1"/>
    <col min="8963" max="8963" width="7.33203125" style="48" customWidth="1"/>
    <col min="8964" max="8964" width="7.1640625" style="48" customWidth="1"/>
    <col min="8965" max="8965" width="9.1640625" style="48" customWidth="1"/>
    <col min="8966" max="8966" width="9.5" style="48" customWidth="1"/>
    <col min="8967" max="8967" width="8.5" style="48" customWidth="1"/>
    <col min="8968" max="8971" width="12.1640625" style="48" bestFit="1" customWidth="1"/>
    <col min="8972" max="8972" width="11" style="48" bestFit="1" customWidth="1"/>
    <col min="8973" max="8973" width="15.33203125" style="48" customWidth="1"/>
    <col min="8974" max="9209" width="10.83203125" style="48"/>
    <col min="9210" max="9210" width="20.5" style="48" customWidth="1"/>
    <col min="9211" max="9211" width="22" style="48" customWidth="1"/>
    <col min="9212" max="9212" width="25.33203125" style="48" customWidth="1"/>
    <col min="9213" max="9213" width="31" style="48" customWidth="1"/>
    <col min="9214" max="9214" width="16.6640625" style="48" customWidth="1"/>
    <col min="9215" max="9215" width="10.5" style="48" customWidth="1"/>
    <col min="9216" max="9216" width="22.83203125" style="48" customWidth="1"/>
    <col min="9217" max="9217" width="38.5" style="48" customWidth="1"/>
    <col min="9218" max="9218" width="20.5" style="48" customWidth="1"/>
    <col min="9219" max="9219" width="7.33203125" style="48" customWidth="1"/>
    <col min="9220" max="9220" width="7.1640625" style="48" customWidth="1"/>
    <col min="9221" max="9221" width="9.1640625" style="48" customWidth="1"/>
    <col min="9222" max="9222" width="9.5" style="48" customWidth="1"/>
    <col min="9223" max="9223" width="8.5" style="48" customWidth="1"/>
    <col min="9224" max="9227" width="12.1640625" style="48" bestFit="1" customWidth="1"/>
    <col min="9228" max="9228" width="11" style="48" bestFit="1" customWidth="1"/>
    <col min="9229" max="9229" width="15.33203125" style="48" customWidth="1"/>
    <col min="9230" max="9465" width="10.83203125" style="48"/>
    <col min="9466" max="9466" width="20.5" style="48" customWidth="1"/>
    <col min="9467" max="9467" width="22" style="48" customWidth="1"/>
    <col min="9468" max="9468" width="25.33203125" style="48" customWidth="1"/>
    <col min="9469" max="9469" width="31" style="48" customWidth="1"/>
    <col min="9470" max="9470" width="16.6640625" style="48" customWidth="1"/>
    <col min="9471" max="9471" width="10.5" style="48" customWidth="1"/>
    <col min="9472" max="9472" width="22.83203125" style="48" customWidth="1"/>
    <col min="9473" max="9473" width="38.5" style="48" customWidth="1"/>
    <col min="9474" max="9474" width="20.5" style="48" customWidth="1"/>
    <col min="9475" max="9475" width="7.33203125" style="48" customWidth="1"/>
    <col min="9476" max="9476" width="7.1640625" style="48" customWidth="1"/>
    <col min="9477" max="9477" width="9.1640625" style="48" customWidth="1"/>
    <col min="9478" max="9478" width="9.5" style="48" customWidth="1"/>
    <col min="9479" max="9479" width="8.5" style="48" customWidth="1"/>
    <col min="9480" max="9483" width="12.1640625" style="48" bestFit="1" customWidth="1"/>
    <col min="9484" max="9484" width="11" style="48" bestFit="1" customWidth="1"/>
    <col min="9485" max="9485" width="15.33203125" style="48" customWidth="1"/>
    <col min="9486" max="9721" width="10.83203125" style="48"/>
    <col min="9722" max="9722" width="20.5" style="48" customWidth="1"/>
    <col min="9723" max="9723" width="22" style="48" customWidth="1"/>
    <col min="9724" max="9724" width="25.33203125" style="48" customWidth="1"/>
    <col min="9725" max="9725" width="31" style="48" customWidth="1"/>
    <col min="9726" max="9726" width="16.6640625" style="48" customWidth="1"/>
    <col min="9727" max="9727" width="10.5" style="48" customWidth="1"/>
    <col min="9728" max="9728" width="22.83203125" style="48" customWidth="1"/>
    <col min="9729" max="9729" width="38.5" style="48" customWidth="1"/>
    <col min="9730" max="9730" width="20.5" style="48" customWidth="1"/>
    <col min="9731" max="9731" width="7.33203125" style="48" customWidth="1"/>
    <col min="9732" max="9732" width="7.1640625" style="48" customWidth="1"/>
    <col min="9733" max="9733" width="9.1640625" style="48" customWidth="1"/>
    <col min="9734" max="9734" width="9.5" style="48" customWidth="1"/>
    <col min="9735" max="9735" width="8.5" style="48" customWidth="1"/>
    <col min="9736" max="9739" width="12.1640625" style="48" bestFit="1" customWidth="1"/>
    <col min="9740" max="9740" width="11" style="48" bestFit="1" customWidth="1"/>
    <col min="9741" max="9741" width="15.33203125" style="48" customWidth="1"/>
    <col min="9742" max="9977" width="10.83203125" style="48"/>
    <col min="9978" max="9978" width="20.5" style="48" customWidth="1"/>
    <col min="9979" max="9979" width="22" style="48" customWidth="1"/>
    <col min="9980" max="9980" width="25.33203125" style="48" customWidth="1"/>
    <col min="9981" max="9981" width="31" style="48" customWidth="1"/>
    <col min="9982" max="9982" width="16.6640625" style="48" customWidth="1"/>
    <col min="9983" max="9983" width="10.5" style="48" customWidth="1"/>
    <col min="9984" max="9984" width="22.83203125" style="48" customWidth="1"/>
    <col min="9985" max="9985" width="38.5" style="48" customWidth="1"/>
    <col min="9986" max="9986" width="20.5" style="48" customWidth="1"/>
    <col min="9987" max="9987" width="7.33203125" style="48" customWidth="1"/>
    <col min="9988" max="9988" width="7.1640625" style="48" customWidth="1"/>
    <col min="9989" max="9989" width="9.1640625" style="48" customWidth="1"/>
    <col min="9990" max="9990" width="9.5" style="48" customWidth="1"/>
    <col min="9991" max="9991" width="8.5" style="48" customWidth="1"/>
    <col min="9992" max="9995" width="12.1640625" style="48" bestFit="1" customWidth="1"/>
    <col min="9996" max="9996" width="11" style="48" bestFit="1" customWidth="1"/>
    <col min="9997" max="9997" width="15.33203125" style="48" customWidth="1"/>
    <col min="9998" max="10233" width="10.83203125" style="48"/>
    <col min="10234" max="10234" width="20.5" style="48" customWidth="1"/>
    <col min="10235" max="10235" width="22" style="48" customWidth="1"/>
    <col min="10236" max="10236" width="25.33203125" style="48" customWidth="1"/>
    <col min="10237" max="10237" width="31" style="48" customWidth="1"/>
    <col min="10238" max="10238" width="16.6640625" style="48" customWidth="1"/>
    <col min="10239" max="10239" width="10.5" style="48" customWidth="1"/>
    <col min="10240" max="10240" width="22.83203125" style="48" customWidth="1"/>
    <col min="10241" max="10241" width="38.5" style="48" customWidth="1"/>
    <col min="10242" max="10242" width="20.5" style="48" customWidth="1"/>
    <col min="10243" max="10243" width="7.33203125" style="48" customWidth="1"/>
    <col min="10244" max="10244" width="7.1640625" style="48" customWidth="1"/>
    <col min="10245" max="10245" width="9.1640625" style="48" customWidth="1"/>
    <col min="10246" max="10246" width="9.5" style="48" customWidth="1"/>
    <col min="10247" max="10247" width="8.5" style="48" customWidth="1"/>
    <col min="10248" max="10251" width="12.1640625" style="48" bestFit="1" customWidth="1"/>
    <col min="10252" max="10252" width="11" style="48" bestFit="1" customWidth="1"/>
    <col min="10253" max="10253" width="15.33203125" style="48" customWidth="1"/>
    <col min="10254" max="10489" width="10.83203125" style="48"/>
    <col min="10490" max="10490" width="20.5" style="48" customWidth="1"/>
    <col min="10491" max="10491" width="22" style="48" customWidth="1"/>
    <col min="10492" max="10492" width="25.33203125" style="48" customWidth="1"/>
    <col min="10493" max="10493" width="31" style="48" customWidth="1"/>
    <col min="10494" max="10494" width="16.6640625" style="48" customWidth="1"/>
    <col min="10495" max="10495" width="10.5" style="48" customWidth="1"/>
    <col min="10496" max="10496" width="22.83203125" style="48" customWidth="1"/>
    <col min="10497" max="10497" width="38.5" style="48" customWidth="1"/>
    <col min="10498" max="10498" width="20.5" style="48" customWidth="1"/>
    <col min="10499" max="10499" width="7.33203125" style="48" customWidth="1"/>
    <col min="10500" max="10500" width="7.1640625" style="48" customWidth="1"/>
    <col min="10501" max="10501" width="9.1640625" style="48" customWidth="1"/>
    <col min="10502" max="10502" width="9.5" style="48" customWidth="1"/>
    <col min="10503" max="10503" width="8.5" style="48" customWidth="1"/>
    <col min="10504" max="10507" width="12.1640625" style="48" bestFit="1" customWidth="1"/>
    <col min="10508" max="10508" width="11" style="48" bestFit="1" customWidth="1"/>
    <col min="10509" max="10509" width="15.33203125" style="48" customWidth="1"/>
    <col min="10510" max="10745" width="10.83203125" style="48"/>
    <col min="10746" max="10746" width="20.5" style="48" customWidth="1"/>
    <col min="10747" max="10747" width="22" style="48" customWidth="1"/>
    <col min="10748" max="10748" width="25.33203125" style="48" customWidth="1"/>
    <col min="10749" max="10749" width="31" style="48" customWidth="1"/>
    <col min="10750" max="10750" width="16.6640625" style="48" customWidth="1"/>
    <col min="10751" max="10751" width="10.5" style="48" customWidth="1"/>
    <col min="10752" max="10752" width="22.83203125" style="48" customWidth="1"/>
    <col min="10753" max="10753" width="38.5" style="48" customWidth="1"/>
    <col min="10754" max="10754" width="20.5" style="48" customWidth="1"/>
    <col min="10755" max="10755" width="7.33203125" style="48" customWidth="1"/>
    <col min="10756" max="10756" width="7.1640625" style="48" customWidth="1"/>
    <col min="10757" max="10757" width="9.1640625" style="48" customWidth="1"/>
    <col min="10758" max="10758" width="9.5" style="48" customWidth="1"/>
    <col min="10759" max="10759" width="8.5" style="48" customWidth="1"/>
    <col min="10760" max="10763" width="12.1640625" style="48" bestFit="1" customWidth="1"/>
    <col min="10764" max="10764" width="11" style="48" bestFit="1" customWidth="1"/>
    <col min="10765" max="10765" width="15.33203125" style="48" customWidth="1"/>
    <col min="10766" max="11001" width="10.83203125" style="48"/>
    <col min="11002" max="11002" width="20.5" style="48" customWidth="1"/>
    <col min="11003" max="11003" width="22" style="48" customWidth="1"/>
    <col min="11004" max="11004" width="25.33203125" style="48" customWidth="1"/>
    <col min="11005" max="11005" width="31" style="48" customWidth="1"/>
    <col min="11006" max="11006" width="16.6640625" style="48" customWidth="1"/>
    <col min="11007" max="11007" width="10.5" style="48" customWidth="1"/>
    <col min="11008" max="11008" width="22.83203125" style="48" customWidth="1"/>
    <col min="11009" max="11009" width="38.5" style="48" customWidth="1"/>
    <col min="11010" max="11010" width="20.5" style="48" customWidth="1"/>
    <col min="11011" max="11011" width="7.33203125" style="48" customWidth="1"/>
    <col min="11012" max="11012" width="7.1640625" style="48" customWidth="1"/>
    <col min="11013" max="11013" width="9.1640625" style="48" customWidth="1"/>
    <col min="11014" max="11014" width="9.5" style="48" customWidth="1"/>
    <col min="11015" max="11015" width="8.5" style="48" customWidth="1"/>
    <col min="11016" max="11019" width="12.1640625" style="48" bestFit="1" customWidth="1"/>
    <col min="11020" max="11020" width="11" style="48" bestFit="1" customWidth="1"/>
    <col min="11021" max="11021" width="15.33203125" style="48" customWidth="1"/>
    <col min="11022" max="11257" width="10.83203125" style="48"/>
    <col min="11258" max="11258" width="20.5" style="48" customWidth="1"/>
    <col min="11259" max="11259" width="22" style="48" customWidth="1"/>
    <col min="11260" max="11260" width="25.33203125" style="48" customWidth="1"/>
    <col min="11261" max="11261" width="31" style="48" customWidth="1"/>
    <col min="11262" max="11262" width="16.6640625" style="48" customWidth="1"/>
    <col min="11263" max="11263" width="10.5" style="48" customWidth="1"/>
    <col min="11264" max="11264" width="22.83203125" style="48" customWidth="1"/>
    <col min="11265" max="11265" width="38.5" style="48" customWidth="1"/>
    <col min="11266" max="11266" width="20.5" style="48" customWidth="1"/>
    <col min="11267" max="11267" width="7.33203125" style="48" customWidth="1"/>
    <col min="11268" max="11268" width="7.1640625" style="48" customWidth="1"/>
    <col min="11269" max="11269" width="9.1640625" style="48" customWidth="1"/>
    <col min="11270" max="11270" width="9.5" style="48" customWidth="1"/>
    <col min="11271" max="11271" width="8.5" style="48" customWidth="1"/>
    <col min="11272" max="11275" width="12.1640625" style="48" bestFit="1" customWidth="1"/>
    <col min="11276" max="11276" width="11" style="48" bestFit="1" customWidth="1"/>
    <col min="11277" max="11277" width="15.33203125" style="48" customWidth="1"/>
    <col min="11278" max="11513" width="10.83203125" style="48"/>
    <col min="11514" max="11514" width="20.5" style="48" customWidth="1"/>
    <col min="11515" max="11515" width="22" style="48" customWidth="1"/>
    <col min="11516" max="11516" width="25.33203125" style="48" customWidth="1"/>
    <col min="11517" max="11517" width="31" style="48" customWidth="1"/>
    <col min="11518" max="11518" width="16.6640625" style="48" customWidth="1"/>
    <col min="11519" max="11519" width="10.5" style="48" customWidth="1"/>
    <col min="11520" max="11520" width="22.83203125" style="48" customWidth="1"/>
    <col min="11521" max="11521" width="38.5" style="48" customWidth="1"/>
    <col min="11522" max="11522" width="20.5" style="48" customWidth="1"/>
    <col min="11523" max="11523" width="7.33203125" style="48" customWidth="1"/>
    <col min="11524" max="11524" width="7.1640625" style="48" customWidth="1"/>
    <col min="11525" max="11525" width="9.1640625" style="48" customWidth="1"/>
    <col min="11526" max="11526" width="9.5" style="48" customWidth="1"/>
    <col min="11527" max="11527" width="8.5" style="48" customWidth="1"/>
    <col min="11528" max="11531" width="12.1640625" style="48" bestFit="1" customWidth="1"/>
    <col min="11532" max="11532" width="11" style="48" bestFit="1" customWidth="1"/>
    <col min="11533" max="11533" width="15.33203125" style="48" customWidth="1"/>
    <col min="11534" max="11769" width="10.83203125" style="48"/>
    <col min="11770" max="11770" width="20.5" style="48" customWidth="1"/>
    <col min="11771" max="11771" width="22" style="48" customWidth="1"/>
    <col min="11772" max="11772" width="25.33203125" style="48" customWidth="1"/>
    <col min="11773" max="11773" width="31" style="48" customWidth="1"/>
    <col min="11774" max="11774" width="16.6640625" style="48" customWidth="1"/>
    <col min="11775" max="11775" width="10.5" style="48" customWidth="1"/>
    <col min="11776" max="11776" width="22.83203125" style="48" customWidth="1"/>
    <col min="11777" max="11777" width="38.5" style="48" customWidth="1"/>
    <col min="11778" max="11778" width="20.5" style="48" customWidth="1"/>
    <col min="11779" max="11779" width="7.33203125" style="48" customWidth="1"/>
    <col min="11780" max="11780" width="7.1640625" style="48" customWidth="1"/>
    <col min="11781" max="11781" width="9.1640625" style="48" customWidth="1"/>
    <col min="11782" max="11782" width="9.5" style="48" customWidth="1"/>
    <col min="11783" max="11783" width="8.5" style="48" customWidth="1"/>
    <col min="11784" max="11787" width="12.1640625" style="48" bestFit="1" customWidth="1"/>
    <col min="11788" max="11788" width="11" style="48" bestFit="1" customWidth="1"/>
    <col min="11789" max="11789" width="15.33203125" style="48" customWidth="1"/>
    <col min="11790" max="12025" width="10.83203125" style="48"/>
    <col min="12026" max="12026" width="20.5" style="48" customWidth="1"/>
    <col min="12027" max="12027" width="22" style="48" customWidth="1"/>
    <col min="12028" max="12028" width="25.33203125" style="48" customWidth="1"/>
    <col min="12029" max="12029" width="31" style="48" customWidth="1"/>
    <col min="12030" max="12030" width="16.6640625" style="48" customWidth="1"/>
    <col min="12031" max="12031" width="10.5" style="48" customWidth="1"/>
    <col min="12032" max="12032" width="22.83203125" style="48" customWidth="1"/>
    <col min="12033" max="12033" width="38.5" style="48" customWidth="1"/>
    <col min="12034" max="12034" width="20.5" style="48" customWidth="1"/>
    <col min="12035" max="12035" width="7.33203125" style="48" customWidth="1"/>
    <col min="12036" max="12036" width="7.1640625" style="48" customWidth="1"/>
    <col min="12037" max="12037" width="9.1640625" style="48" customWidth="1"/>
    <col min="12038" max="12038" width="9.5" style="48" customWidth="1"/>
    <col min="12039" max="12039" width="8.5" style="48" customWidth="1"/>
    <col min="12040" max="12043" width="12.1640625" style="48" bestFit="1" customWidth="1"/>
    <col min="12044" max="12044" width="11" style="48" bestFit="1" customWidth="1"/>
    <col min="12045" max="12045" width="15.33203125" style="48" customWidth="1"/>
    <col min="12046" max="12281" width="10.83203125" style="48"/>
    <col min="12282" max="12282" width="20.5" style="48" customWidth="1"/>
    <col min="12283" max="12283" width="22" style="48" customWidth="1"/>
    <col min="12284" max="12284" width="25.33203125" style="48" customWidth="1"/>
    <col min="12285" max="12285" width="31" style="48" customWidth="1"/>
    <col min="12286" max="12286" width="16.6640625" style="48" customWidth="1"/>
    <col min="12287" max="12287" width="10.5" style="48" customWidth="1"/>
    <col min="12288" max="12288" width="22.83203125" style="48" customWidth="1"/>
    <col min="12289" max="12289" width="38.5" style="48" customWidth="1"/>
    <col min="12290" max="12290" width="20.5" style="48" customWidth="1"/>
    <col min="12291" max="12291" width="7.33203125" style="48" customWidth="1"/>
    <col min="12292" max="12292" width="7.1640625" style="48" customWidth="1"/>
    <col min="12293" max="12293" width="9.1640625" style="48" customWidth="1"/>
    <col min="12294" max="12294" width="9.5" style="48" customWidth="1"/>
    <col min="12295" max="12295" width="8.5" style="48" customWidth="1"/>
    <col min="12296" max="12299" width="12.1640625" style="48" bestFit="1" customWidth="1"/>
    <col min="12300" max="12300" width="11" style="48" bestFit="1" customWidth="1"/>
    <col min="12301" max="12301" width="15.33203125" style="48" customWidth="1"/>
    <col min="12302" max="12537" width="10.83203125" style="48"/>
    <col min="12538" max="12538" width="20.5" style="48" customWidth="1"/>
    <col min="12539" max="12539" width="22" style="48" customWidth="1"/>
    <col min="12540" max="12540" width="25.33203125" style="48" customWidth="1"/>
    <col min="12541" max="12541" width="31" style="48" customWidth="1"/>
    <col min="12542" max="12542" width="16.6640625" style="48" customWidth="1"/>
    <col min="12543" max="12543" width="10.5" style="48" customWidth="1"/>
    <col min="12544" max="12544" width="22.83203125" style="48" customWidth="1"/>
    <col min="12545" max="12545" width="38.5" style="48" customWidth="1"/>
    <col min="12546" max="12546" width="20.5" style="48" customWidth="1"/>
    <col min="12547" max="12547" width="7.33203125" style="48" customWidth="1"/>
    <col min="12548" max="12548" width="7.1640625" style="48" customWidth="1"/>
    <col min="12549" max="12549" width="9.1640625" style="48" customWidth="1"/>
    <col min="12550" max="12550" width="9.5" style="48" customWidth="1"/>
    <col min="12551" max="12551" width="8.5" style="48" customWidth="1"/>
    <col min="12552" max="12555" width="12.1640625" style="48" bestFit="1" customWidth="1"/>
    <col min="12556" max="12556" width="11" style="48" bestFit="1" customWidth="1"/>
    <col min="12557" max="12557" width="15.33203125" style="48" customWidth="1"/>
    <col min="12558" max="12793" width="10.83203125" style="48"/>
    <col min="12794" max="12794" width="20.5" style="48" customWidth="1"/>
    <col min="12795" max="12795" width="22" style="48" customWidth="1"/>
    <col min="12796" max="12796" width="25.33203125" style="48" customWidth="1"/>
    <col min="12797" max="12797" width="31" style="48" customWidth="1"/>
    <col min="12798" max="12798" width="16.6640625" style="48" customWidth="1"/>
    <col min="12799" max="12799" width="10.5" style="48" customWidth="1"/>
    <col min="12800" max="12800" width="22.83203125" style="48" customWidth="1"/>
    <col min="12801" max="12801" width="38.5" style="48" customWidth="1"/>
    <col min="12802" max="12802" width="20.5" style="48" customWidth="1"/>
    <col min="12803" max="12803" width="7.33203125" style="48" customWidth="1"/>
    <col min="12804" max="12804" width="7.1640625" style="48" customWidth="1"/>
    <col min="12805" max="12805" width="9.1640625" style="48" customWidth="1"/>
    <col min="12806" max="12806" width="9.5" style="48" customWidth="1"/>
    <col min="12807" max="12807" width="8.5" style="48" customWidth="1"/>
    <col min="12808" max="12811" width="12.1640625" style="48" bestFit="1" customWidth="1"/>
    <col min="12812" max="12812" width="11" style="48" bestFit="1" customWidth="1"/>
    <col min="12813" max="12813" width="15.33203125" style="48" customWidth="1"/>
    <col min="12814" max="13049" width="10.83203125" style="48"/>
    <col min="13050" max="13050" width="20.5" style="48" customWidth="1"/>
    <col min="13051" max="13051" width="22" style="48" customWidth="1"/>
    <col min="13052" max="13052" width="25.33203125" style="48" customWidth="1"/>
    <col min="13053" max="13053" width="31" style="48" customWidth="1"/>
    <col min="13054" max="13054" width="16.6640625" style="48" customWidth="1"/>
    <col min="13055" max="13055" width="10.5" style="48" customWidth="1"/>
    <col min="13056" max="13056" width="22.83203125" style="48" customWidth="1"/>
    <col min="13057" max="13057" width="38.5" style="48" customWidth="1"/>
    <col min="13058" max="13058" width="20.5" style="48" customWidth="1"/>
    <col min="13059" max="13059" width="7.33203125" style="48" customWidth="1"/>
    <col min="13060" max="13060" width="7.1640625" style="48" customWidth="1"/>
    <col min="13061" max="13061" width="9.1640625" style="48" customWidth="1"/>
    <col min="13062" max="13062" width="9.5" style="48" customWidth="1"/>
    <col min="13063" max="13063" width="8.5" style="48" customWidth="1"/>
    <col min="13064" max="13067" width="12.1640625" style="48" bestFit="1" customWidth="1"/>
    <col min="13068" max="13068" width="11" style="48" bestFit="1" customWidth="1"/>
    <col min="13069" max="13069" width="15.33203125" style="48" customWidth="1"/>
    <col min="13070" max="13305" width="10.83203125" style="48"/>
    <col min="13306" max="13306" width="20.5" style="48" customWidth="1"/>
    <col min="13307" max="13307" width="22" style="48" customWidth="1"/>
    <col min="13308" max="13308" width="25.33203125" style="48" customWidth="1"/>
    <col min="13309" max="13309" width="31" style="48" customWidth="1"/>
    <col min="13310" max="13310" width="16.6640625" style="48" customWidth="1"/>
    <col min="13311" max="13311" width="10.5" style="48" customWidth="1"/>
    <col min="13312" max="13312" width="22.83203125" style="48" customWidth="1"/>
    <col min="13313" max="13313" width="38.5" style="48" customWidth="1"/>
    <col min="13314" max="13314" width="20.5" style="48" customWidth="1"/>
    <col min="13315" max="13315" width="7.33203125" style="48" customWidth="1"/>
    <col min="13316" max="13316" width="7.1640625" style="48" customWidth="1"/>
    <col min="13317" max="13317" width="9.1640625" style="48" customWidth="1"/>
    <col min="13318" max="13318" width="9.5" style="48" customWidth="1"/>
    <col min="13319" max="13319" width="8.5" style="48" customWidth="1"/>
    <col min="13320" max="13323" width="12.1640625" style="48" bestFit="1" customWidth="1"/>
    <col min="13324" max="13324" width="11" style="48" bestFit="1" customWidth="1"/>
    <col min="13325" max="13325" width="15.33203125" style="48" customWidth="1"/>
    <col min="13326" max="13561" width="10.83203125" style="48"/>
    <col min="13562" max="13562" width="20.5" style="48" customWidth="1"/>
    <col min="13563" max="13563" width="22" style="48" customWidth="1"/>
    <col min="13564" max="13564" width="25.33203125" style="48" customWidth="1"/>
    <col min="13565" max="13565" width="31" style="48" customWidth="1"/>
    <col min="13566" max="13566" width="16.6640625" style="48" customWidth="1"/>
    <col min="13567" max="13567" width="10.5" style="48" customWidth="1"/>
    <col min="13568" max="13568" width="22.83203125" style="48" customWidth="1"/>
    <col min="13569" max="13569" width="38.5" style="48" customWidth="1"/>
    <col min="13570" max="13570" width="20.5" style="48" customWidth="1"/>
    <col min="13571" max="13571" width="7.33203125" style="48" customWidth="1"/>
    <col min="13572" max="13572" width="7.1640625" style="48" customWidth="1"/>
    <col min="13573" max="13573" width="9.1640625" style="48" customWidth="1"/>
    <col min="13574" max="13574" width="9.5" style="48" customWidth="1"/>
    <col min="13575" max="13575" width="8.5" style="48" customWidth="1"/>
    <col min="13576" max="13579" width="12.1640625" style="48" bestFit="1" customWidth="1"/>
    <col min="13580" max="13580" width="11" style="48" bestFit="1" customWidth="1"/>
    <col min="13581" max="13581" width="15.33203125" style="48" customWidth="1"/>
    <col min="13582" max="13817" width="10.83203125" style="48"/>
    <col min="13818" max="13818" width="20.5" style="48" customWidth="1"/>
    <col min="13819" max="13819" width="22" style="48" customWidth="1"/>
    <col min="13820" max="13820" width="25.33203125" style="48" customWidth="1"/>
    <col min="13821" max="13821" width="31" style="48" customWidth="1"/>
    <col min="13822" max="13822" width="16.6640625" style="48" customWidth="1"/>
    <col min="13823" max="13823" width="10.5" style="48" customWidth="1"/>
    <col min="13824" max="13824" width="22.83203125" style="48" customWidth="1"/>
    <col min="13825" max="13825" width="38.5" style="48" customWidth="1"/>
    <col min="13826" max="13826" width="20.5" style="48" customWidth="1"/>
    <col min="13827" max="13827" width="7.33203125" style="48" customWidth="1"/>
    <col min="13828" max="13828" width="7.1640625" style="48" customWidth="1"/>
    <col min="13829" max="13829" width="9.1640625" style="48" customWidth="1"/>
    <col min="13830" max="13830" width="9.5" style="48" customWidth="1"/>
    <col min="13831" max="13831" width="8.5" style="48" customWidth="1"/>
    <col min="13832" max="13835" width="12.1640625" style="48" bestFit="1" customWidth="1"/>
    <col min="13836" max="13836" width="11" style="48" bestFit="1" customWidth="1"/>
    <col min="13837" max="13837" width="15.33203125" style="48" customWidth="1"/>
    <col min="13838" max="14073" width="10.83203125" style="48"/>
    <col min="14074" max="14074" width="20.5" style="48" customWidth="1"/>
    <col min="14075" max="14075" width="22" style="48" customWidth="1"/>
    <col min="14076" max="14076" width="25.33203125" style="48" customWidth="1"/>
    <col min="14077" max="14077" width="31" style="48" customWidth="1"/>
    <col min="14078" max="14078" width="16.6640625" style="48" customWidth="1"/>
    <col min="14079" max="14079" width="10.5" style="48" customWidth="1"/>
    <col min="14080" max="14080" width="22.83203125" style="48" customWidth="1"/>
    <col min="14081" max="14081" width="38.5" style="48" customWidth="1"/>
    <col min="14082" max="14082" width="20.5" style="48" customWidth="1"/>
    <col min="14083" max="14083" width="7.33203125" style="48" customWidth="1"/>
    <col min="14084" max="14084" width="7.1640625" style="48" customWidth="1"/>
    <col min="14085" max="14085" width="9.1640625" style="48" customWidth="1"/>
    <col min="14086" max="14086" width="9.5" style="48" customWidth="1"/>
    <col min="14087" max="14087" width="8.5" style="48" customWidth="1"/>
    <col min="14088" max="14091" width="12.1640625" style="48" bestFit="1" customWidth="1"/>
    <col min="14092" max="14092" width="11" style="48" bestFit="1" customWidth="1"/>
    <col min="14093" max="14093" width="15.33203125" style="48" customWidth="1"/>
    <col min="14094" max="14329" width="10.83203125" style="48"/>
    <col min="14330" max="14330" width="20.5" style="48" customWidth="1"/>
    <col min="14331" max="14331" width="22" style="48" customWidth="1"/>
    <col min="14332" max="14332" width="25.33203125" style="48" customWidth="1"/>
    <col min="14333" max="14333" width="31" style="48" customWidth="1"/>
    <col min="14334" max="14334" width="16.6640625" style="48" customWidth="1"/>
    <col min="14335" max="14335" width="10.5" style="48" customWidth="1"/>
    <col min="14336" max="14336" width="22.83203125" style="48" customWidth="1"/>
    <col min="14337" max="14337" width="38.5" style="48" customWidth="1"/>
    <col min="14338" max="14338" width="20.5" style="48" customWidth="1"/>
    <col min="14339" max="14339" width="7.33203125" style="48" customWidth="1"/>
    <col min="14340" max="14340" width="7.1640625" style="48" customWidth="1"/>
    <col min="14341" max="14341" width="9.1640625" style="48" customWidth="1"/>
    <col min="14342" max="14342" width="9.5" style="48" customWidth="1"/>
    <col min="14343" max="14343" width="8.5" style="48" customWidth="1"/>
    <col min="14344" max="14347" width="12.1640625" style="48" bestFit="1" customWidth="1"/>
    <col min="14348" max="14348" width="11" style="48" bestFit="1" customWidth="1"/>
    <col min="14349" max="14349" width="15.33203125" style="48" customWidth="1"/>
    <col min="14350" max="14585" width="10.83203125" style="48"/>
    <col min="14586" max="14586" width="20.5" style="48" customWidth="1"/>
    <col min="14587" max="14587" width="22" style="48" customWidth="1"/>
    <col min="14588" max="14588" width="25.33203125" style="48" customWidth="1"/>
    <col min="14589" max="14589" width="31" style="48" customWidth="1"/>
    <col min="14590" max="14590" width="16.6640625" style="48" customWidth="1"/>
    <col min="14591" max="14591" width="10.5" style="48" customWidth="1"/>
    <col min="14592" max="14592" width="22.83203125" style="48" customWidth="1"/>
    <col min="14593" max="14593" width="38.5" style="48" customWidth="1"/>
    <col min="14594" max="14594" width="20.5" style="48" customWidth="1"/>
    <col min="14595" max="14595" width="7.33203125" style="48" customWidth="1"/>
    <col min="14596" max="14596" width="7.1640625" style="48" customWidth="1"/>
    <col min="14597" max="14597" width="9.1640625" style="48" customWidth="1"/>
    <col min="14598" max="14598" width="9.5" style="48" customWidth="1"/>
    <col min="14599" max="14599" width="8.5" style="48" customWidth="1"/>
    <col min="14600" max="14603" width="12.1640625" style="48" bestFit="1" customWidth="1"/>
    <col min="14604" max="14604" width="11" style="48" bestFit="1" customWidth="1"/>
    <col min="14605" max="14605" width="15.33203125" style="48" customWidth="1"/>
    <col min="14606" max="14841" width="10.83203125" style="48"/>
    <col min="14842" max="14842" width="20.5" style="48" customWidth="1"/>
    <col min="14843" max="14843" width="22" style="48" customWidth="1"/>
    <col min="14844" max="14844" width="25.33203125" style="48" customWidth="1"/>
    <col min="14845" max="14845" width="31" style="48" customWidth="1"/>
    <col min="14846" max="14846" width="16.6640625" style="48" customWidth="1"/>
    <col min="14847" max="14847" width="10.5" style="48" customWidth="1"/>
    <col min="14848" max="14848" width="22.83203125" style="48" customWidth="1"/>
    <col min="14849" max="14849" width="38.5" style="48" customWidth="1"/>
    <col min="14850" max="14850" width="20.5" style="48" customWidth="1"/>
    <col min="14851" max="14851" width="7.33203125" style="48" customWidth="1"/>
    <col min="14852" max="14852" width="7.1640625" style="48" customWidth="1"/>
    <col min="14853" max="14853" width="9.1640625" style="48" customWidth="1"/>
    <col min="14854" max="14854" width="9.5" style="48" customWidth="1"/>
    <col min="14855" max="14855" width="8.5" style="48" customWidth="1"/>
    <col min="14856" max="14859" width="12.1640625" style="48" bestFit="1" customWidth="1"/>
    <col min="14860" max="14860" width="11" style="48" bestFit="1" customWidth="1"/>
    <col min="14861" max="14861" width="15.33203125" style="48" customWidth="1"/>
    <col min="14862" max="15097" width="10.83203125" style="48"/>
    <col min="15098" max="15098" width="20.5" style="48" customWidth="1"/>
    <col min="15099" max="15099" width="22" style="48" customWidth="1"/>
    <col min="15100" max="15100" width="25.33203125" style="48" customWidth="1"/>
    <col min="15101" max="15101" width="31" style="48" customWidth="1"/>
    <col min="15102" max="15102" width="16.6640625" style="48" customWidth="1"/>
    <col min="15103" max="15103" width="10.5" style="48" customWidth="1"/>
    <col min="15104" max="15104" width="22.83203125" style="48" customWidth="1"/>
    <col min="15105" max="15105" width="38.5" style="48" customWidth="1"/>
    <col min="15106" max="15106" width="20.5" style="48" customWidth="1"/>
    <col min="15107" max="15107" width="7.33203125" style="48" customWidth="1"/>
    <col min="15108" max="15108" width="7.1640625" style="48" customWidth="1"/>
    <col min="15109" max="15109" width="9.1640625" style="48" customWidth="1"/>
    <col min="15110" max="15110" width="9.5" style="48" customWidth="1"/>
    <col min="15111" max="15111" width="8.5" style="48" customWidth="1"/>
    <col min="15112" max="15115" width="12.1640625" style="48" bestFit="1" customWidth="1"/>
    <col min="15116" max="15116" width="11" style="48" bestFit="1" customWidth="1"/>
    <col min="15117" max="15117" width="15.33203125" style="48" customWidth="1"/>
    <col min="15118" max="15353" width="10.83203125" style="48"/>
    <col min="15354" max="15354" width="20.5" style="48" customWidth="1"/>
    <col min="15355" max="15355" width="22" style="48" customWidth="1"/>
    <col min="15356" max="15356" width="25.33203125" style="48" customWidth="1"/>
    <col min="15357" max="15357" width="31" style="48" customWidth="1"/>
    <col min="15358" max="15358" width="16.6640625" style="48" customWidth="1"/>
    <col min="15359" max="15359" width="10.5" style="48" customWidth="1"/>
    <col min="15360" max="15360" width="22.83203125" style="48" customWidth="1"/>
    <col min="15361" max="15361" width="38.5" style="48" customWidth="1"/>
    <col min="15362" max="15362" width="20.5" style="48" customWidth="1"/>
    <col min="15363" max="15363" width="7.33203125" style="48" customWidth="1"/>
    <col min="15364" max="15364" width="7.1640625" style="48" customWidth="1"/>
    <col min="15365" max="15365" width="9.1640625" style="48" customWidth="1"/>
    <col min="15366" max="15366" width="9.5" style="48" customWidth="1"/>
    <col min="15367" max="15367" width="8.5" style="48" customWidth="1"/>
    <col min="15368" max="15371" width="12.1640625" style="48" bestFit="1" customWidth="1"/>
    <col min="15372" max="15372" width="11" style="48" bestFit="1" customWidth="1"/>
    <col min="15373" max="15373" width="15.33203125" style="48" customWidth="1"/>
    <col min="15374" max="15609" width="10.83203125" style="48"/>
    <col min="15610" max="15610" width="20.5" style="48" customWidth="1"/>
    <col min="15611" max="15611" width="22" style="48" customWidth="1"/>
    <col min="15612" max="15612" width="25.33203125" style="48" customWidth="1"/>
    <col min="15613" max="15613" width="31" style="48" customWidth="1"/>
    <col min="15614" max="15614" width="16.6640625" style="48" customWidth="1"/>
    <col min="15615" max="15615" width="10.5" style="48" customWidth="1"/>
    <col min="15616" max="15616" width="22.83203125" style="48" customWidth="1"/>
    <col min="15617" max="15617" width="38.5" style="48" customWidth="1"/>
    <col min="15618" max="15618" width="20.5" style="48" customWidth="1"/>
    <col min="15619" max="15619" width="7.33203125" style="48" customWidth="1"/>
    <col min="15620" max="15620" width="7.1640625" style="48" customWidth="1"/>
    <col min="15621" max="15621" width="9.1640625" style="48" customWidth="1"/>
    <col min="15622" max="15622" width="9.5" style="48" customWidth="1"/>
    <col min="15623" max="15623" width="8.5" style="48" customWidth="1"/>
    <col min="15624" max="15627" width="12.1640625" style="48" bestFit="1" customWidth="1"/>
    <col min="15628" max="15628" width="11" style="48" bestFit="1" customWidth="1"/>
    <col min="15629" max="15629" width="15.33203125" style="48" customWidth="1"/>
    <col min="15630" max="15865" width="10.83203125" style="48"/>
    <col min="15866" max="15866" width="20.5" style="48" customWidth="1"/>
    <col min="15867" max="15867" width="22" style="48" customWidth="1"/>
    <col min="15868" max="15868" width="25.33203125" style="48" customWidth="1"/>
    <col min="15869" max="15869" width="31" style="48" customWidth="1"/>
    <col min="15870" max="15870" width="16.6640625" style="48" customWidth="1"/>
    <col min="15871" max="15871" width="10.5" style="48" customWidth="1"/>
    <col min="15872" max="15872" width="22.83203125" style="48" customWidth="1"/>
    <col min="15873" max="15873" width="38.5" style="48" customWidth="1"/>
    <col min="15874" max="15874" width="20.5" style="48" customWidth="1"/>
    <col min="15875" max="15875" width="7.33203125" style="48" customWidth="1"/>
    <col min="15876" max="15876" width="7.1640625" style="48" customWidth="1"/>
    <col min="15877" max="15877" width="9.1640625" style="48" customWidth="1"/>
    <col min="15878" max="15878" width="9.5" style="48" customWidth="1"/>
    <col min="15879" max="15879" width="8.5" style="48" customWidth="1"/>
    <col min="15880" max="15883" width="12.1640625" style="48" bestFit="1" customWidth="1"/>
    <col min="15884" max="15884" width="11" style="48" bestFit="1" customWidth="1"/>
    <col min="15885" max="15885" width="15.33203125" style="48" customWidth="1"/>
    <col min="15886" max="16121" width="10.83203125" style="48"/>
    <col min="16122" max="16122" width="20.5" style="48" customWidth="1"/>
    <col min="16123" max="16123" width="22" style="48" customWidth="1"/>
    <col min="16124" max="16124" width="25.33203125" style="48" customWidth="1"/>
    <col min="16125" max="16125" width="31" style="48" customWidth="1"/>
    <col min="16126" max="16126" width="16.6640625" style="48" customWidth="1"/>
    <col min="16127" max="16127" width="10.5" style="48" customWidth="1"/>
    <col min="16128" max="16128" width="22.83203125" style="48" customWidth="1"/>
    <col min="16129" max="16129" width="38.5" style="48" customWidth="1"/>
    <col min="16130" max="16130" width="20.5" style="48" customWidth="1"/>
    <col min="16131" max="16131" width="7.33203125" style="48" customWidth="1"/>
    <col min="16132" max="16132" width="7.1640625" style="48" customWidth="1"/>
    <col min="16133" max="16133" width="9.1640625" style="48" customWidth="1"/>
    <col min="16134" max="16134" width="9.5" style="48" customWidth="1"/>
    <col min="16135" max="16135" width="8.5" style="48" customWidth="1"/>
    <col min="16136" max="16139" width="12.1640625" style="48" bestFit="1" customWidth="1"/>
    <col min="16140" max="16140" width="11" style="48" bestFit="1" customWidth="1"/>
    <col min="16141" max="16141" width="15.33203125" style="48" customWidth="1"/>
    <col min="16142" max="16384" width="10.83203125" style="48"/>
  </cols>
  <sheetData>
    <row r="1" spans="1:29" hidden="1" x14ac:dyDescent="0.15">
      <c r="A1" s="163"/>
      <c r="B1" s="165" t="s">
        <v>364</v>
      </c>
      <c r="C1" s="166"/>
      <c r="D1" s="166"/>
      <c r="E1" s="166"/>
      <c r="F1" s="166"/>
      <c r="G1" s="166"/>
      <c r="H1" s="166"/>
      <c r="I1" s="166"/>
      <c r="J1" s="166"/>
      <c r="K1" s="166"/>
      <c r="L1" s="166"/>
      <c r="M1" s="166"/>
      <c r="N1" s="166"/>
      <c r="O1" s="166"/>
      <c r="P1" s="166"/>
      <c r="Q1" s="166"/>
      <c r="R1" s="133"/>
      <c r="S1" s="133"/>
      <c r="T1" s="133"/>
      <c r="U1" s="133"/>
      <c r="V1" s="133"/>
      <c r="W1" s="133"/>
      <c r="X1" s="133"/>
      <c r="Y1" s="133"/>
      <c r="Z1" s="133"/>
      <c r="AA1" s="133"/>
      <c r="AB1" s="133"/>
      <c r="AC1" s="133"/>
    </row>
    <row r="2" spans="1:29" hidden="1" x14ac:dyDescent="0.15">
      <c r="A2" s="164"/>
      <c r="B2" s="167"/>
      <c r="C2" s="168"/>
      <c r="D2" s="168"/>
      <c r="E2" s="168"/>
      <c r="F2" s="168"/>
      <c r="G2" s="168"/>
      <c r="H2" s="168"/>
      <c r="I2" s="168"/>
      <c r="J2" s="168"/>
      <c r="K2" s="168"/>
      <c r="L2" s="168"/>
      <c r="M2" s="168"/>
      <c r="N2" s="168"/>
      <c r="O2" s="168"/>
      <c r="P2" s="168"/>
      <c r="Q2" s="168"/>
      <c r="R2" s="133"/>
      <c r="S2" s="133"/>
      <c r="T2" s="133"/>
      <c r="U2" s="133"/>
      <c r="V2" s="133"/>
      <c r="W2" s="133"/>
      <c r="X2" s="133"/>
      <c r="Y2" s="133"/>
      <c r="Z2" s="133"/>
      <c r="AA2" s="133"/>
      <c r="AB2" s="133"/>
      <c r="AC2" s="133"/>
    </row>
    <row r="3" spans="1:29" ht="39" hidden="1" customHeight="1" thickBot="1" x14ac:dyDescent="0.2">
      <c r="A3" s="164"/>
      <c r="B3" s="167"/>
      <c r="C3" s="168"/>
      <c r="D3" s="168"/>
      <c r="E3" s="168"/>
      <c r="F3" s="168"/>
      <c r="G3" s="168"/>
      <c r="H3" s="168"/>
      <c r="I3" s="168"/>
      <c r="J3" s="168"/>
      <c r="K3" s="168"/>
      <c r="L3" s="168"/>
      <c r="M3" s="168"/>
      <c r="N3" s="168"/>
      <c r="O3" s="168"/>
      <c r="P3" s="168"/>
      <c r="Q3" s="168"/>
      <c r="R3" s="133"/>
      <c r="S3" s="133"/>
      <c r="T3" s="133"/>
      <c r="U3" s="133"/>
      <c r="V3" s="133"/>
      <c r="W3" s="133"/>
      <c r="X3" s="133"/>
      <c r="Y3" s="133"/>
      <c r="Z3" s="133"/>
      <c r="AA3" s="133"/>
      <c r="AB3" s="133"/>
      <c r="AC3" s="133"/>
    </row>
    <row r="4" spans="1:29" ht="75.75" customHeight="1" x14ac:dyDescent="0.15">
      <c r="A4" s="81" t="s">
        <v>118</v>
      </c>
      <c r="B4" s="80" t="s">
        <v>119</v>
      </c>
      <c r="C4" s="82" t="s">
        <v>120</v>
      </c>
      <c r="D4" s="80" t="s">
        <v>121</v>
      </c>
      <c r="E4" s="83" t="s">
        <v>122</v>
      </c>
      <c r="F4" s="116" t="s">
        <v>123</v>
      </c>
      <c r="G4" s="117" t="s">
        <v>124</v>
      </c>
      <c r="H4" s="117" t="s">
        <v>125</v>
      </c>
      <c r="I4" s="117" t="s">
        <v>126</v>
      </c>
      <c r="J4" s="117" t="s">
        <v>127</v>
      </c>
      <c r="K4" s="118" t="s">
        <v>128</v>
      </c>
      <c r="L4" s="119" t="s">
        <v>129</v>
      </c>
      <c r="M4" s="119" t="s">
        <v>130</v>
      </c>
      <c r="N4" s="120" t="s">
        <v>131</v>
      </c>
      <c r="O4" s="116" t="s">
        <v>149</v>
      </c>
      <c r="P4" s="116" t="s">
        <v>365</v>
      </c>
      <c r="Q4" s="121" t="s">
        <v>366</v>
      </c>
      <c r="R4" s="121" t="s">
        <v>367</v>
      </c>
      <c r="S4" s="121" t="s">
        <v>368</v>
      </c>
      <c r="T4" s="121" t="s">
        <v>406</v>
      </c>
      <c r="U4" s="121" t="s">
        <v>407</v>
      </c>
      <c r="V4" s="121" t="s">
        <v>408</v>
      </c>
      <c r="W4" s="121" t="s">
        <v>412</v>
      </c>
      <c r="X4" s="121" t="s">
        <v>380</v>
      </c>
      <c r="Y4" s="121" t="s">
        <v>342</v>
      </c>
    </row>
    <row r="5" spans="1:29" ht="61.5" customHeight="1" x14ac:dyDescent="0.15">
      <c r="A5" s="49" t="s">
        <v>259</v>
      </c>
      <c r="B5" s="49" t="s">
        <v>289</v>
      </c>
      <c r="C5" s="50" t="s">
        <v>308</v>
      </c>
      <c r="D5" s="50" t="s">
        <v>116</v>
      </c>
      <c r="E5" s="115" t="s">
        <v>44</v>
      </c>
      <c r="F5" s="51" t="s">
        <v>21</v>
      </c>
      <c r="G5" s="50" t="s">
        <v>308</v>
      </c>
      <c r="H5" s="51" t="s">
        <v>227</v>
      </c>
      <c r="I5" s="53" t="s">
        <v>216</v>
      </c>
      <c r="J5" s="50" t="s">
        <v>260</v>
      </c>
      <c r="K5" s="50" t="s">
        <v>217</v>
      </c>
      <c r="L5" s="52" t="s">
        <v>108</v>
      </c>
      <c r="M5" s="52" t="s">
        <v>387</v>
      </c>
      <c r="N5" s="52" t="s">
        <v>262</v>
      </c>
      <c r="O5" s="89" t="s">
        <v>271</v>
      </c>
      <c r="P5" s="89" t="s">
        <v>271</v>
      </c>
      <c r="Q5" s="123">
        <f>IF(29.35&lt;=49.6,1)</f>
        <v>1</v>
      </c>
      <c r="R5" s="124">
        <f>IF(35.16&lt;=49.6,1)</f>
        <v>1</v>
      </c>
      <c r="S5" s="124">
        <f>IF(27.9&lt;=49.6,1)</f>
        <v>1</v>
      </c>
      <c r="T5" s="124">
        <f>IF(21.85&lt;=49.6,1)</f>
        <v>1</v>
      </c>
      <c r="U5" s="124">
        <f>IF(6.42&lt;=49.6,1)</f>
        <v>1</v>
      </c>
      <c r="V5" s="124">
        <f>IF(22.5&lt;=49.6,1)</f>
        <v>1</v>
      </c>
      <c r="W5" s="97">
        <f>AVERAGE(Q5:V5)</f>
        <v>1</v>
      </c>
      <c r="X5" s="97">
        <v>1</v>
      </c>
      <c r="Y5" s="99" t="s">
        <v>409</v>
      </c>
    </row>
    <row r="6" spans="1:29" ht="73.5" customHeight="1" x14ac:dyDescent="0.15">
      <c r="A6" s="49" t="s">
        <v>259</v>
      </c>
      <c r="B6" s="49" t="s">
        <v>289</v>
      </c>
      <c r="C6" s="50" t="s">
        <v>308</v>
      </c>
      <c r="D6" s="50" t="s">
        <v>116</v>
      </c>
      <c r="E6" s="115" t="s">
        <v>44</v>
      </c>
      <c r="F6" s="51" t="s">
        <v>21</v>
      </c>
      <c r="G6" s="50" t="s">
        <v>308</v>
      </c>
      <c r="H6" s="51" t="s">
        <v>228</v>
      </c>
      <c r="I6" s="53" t="s">
        <v>224</v>
      </c>
      <c r="J6" s="50" t="s">
        <v>261</v>
      </c>
      <c r="K6" s="50" t="s">
        <v>225</v>
      </c>
      <c r="L6" s="52" t="s">
        <v>108</v>
      </c>
      <c r="M6" s="52" t="s">
        <v>387</v>
      </c>
      <c r="N6" s="52" t="s">
        <v>263</v>
      </c>
      <c r="O6" s="89" t="s">
        <v>270</v>
      </c>
      <c r="P6" s="89" t="s">
        <v>270</v>
      </c>
      <c r="Q6" s="124">
        <f>IF(0.62&lt;=0.95,1)</f>
        <v>1</v>
      </c>
      <c r="R6" s="123">
        <f>IF(0.8&lt;=0.95,1)</f>
        <v>1</v>
      </c>
      <c r="S6" s="123">
        <f>IF(0.32&lt;=0.95,1)</f>
        <v>1</v>
      </c>
      <c r="T6" s="123">
        <f>IF(0.31&lt;=0.95,1)</f>
        <v>1</v>
      </c>
      <c r="U6" s="123" t="s">
        <v>6</v>
      </c>
      <c r="V6" s="123" t="s">
        <v>6</v>
      </c>
      <c r="W6" s="97">
        <f>AVERAGE(Q6:T6)</f>
        <v>1</v>
      </c>
      <c r="X6" s="97">
        <f>W6/0.95</f>
        <v>1.0526315789473684</v>
      </c>
      <c r="Y6" s="134" t="s">
        <v>413</v>
      </c>
    </row>
    <row r="7" spans="1:29" ht="58.5" customHeight="1" x14ac:dyDescent="0.15">
      <c r="A7" s="49" t="s">
        <v>259</v>
      </c>
      <c r="B7" s="49" t="s">
        <v>289</v>
      </c>
      <c r="C7" s="50" t="s">
        <v>308</v>
      </c>
      <c r="D7" s="50" t="s">
        <v>116</v>
      </c>
      <c r="E7" s="115" t="s">
        <v>44</v>
      </c>
      <c r="F7" s="51" t="s">
        <v>21</v>
      </c>
      <c r="G7" s="50" t="s">
        <v>308</v>
      </c>
      <c r="H7" s="51" t="s">
        <v>229</v>
      </c>
      <c r="I7" s="53" t="s">
        <v>226</v>
      </c>
      <c r="J7" s="50" t="s">
        <v>265</v>
      </c>
      <c r="K7" s="50" t="s">
        <v>264</v>
      </c>
      <c r="L7" s="52" t="s">
        <v>108</v>
      </c>
      <c r="M7" s="52" t="s">
        <v>110</v>
      </c>
      <c r="N7" s="52" t="s">
        <v>266</v>
      </c>
      <c r="O7" s="86">
        <v>1</v>
      </c>
      <c r="P7" s="86">
        <v>1</v>
      </c>
      <c r="Q7" s="94">
        <f>641/770</f>
        <v>0.83246753246753247</v>
      </c>
      <c r="R7" s="94">
        <f>144/286</f>
        <v>0.50349650349650354</v>
      </c>
      <c r="S7" s="94">
        <f>476/565</f>
        <v>0.84247787610619473</v>
      </c>
      <c r="T7" s="94">
        <v>0</v>
      </c>
      <c r="U7" s="94">
        <v>0</v>
      </c>
      <c r="V7" s="142">
        <f>68/153</f>
        <v>0.44444444444444442</v>
      </c>
      <c r="W7" s="143">
        <f>AVERAGE(Q7:V7)</f>
        <v>0.43714772608577918</v>
      </c>
      <c r="X7" s="143">
        <f t="shared" ref="X7:X11" si="0">W7/P7</f>
        <v>0.43714772608577918</v>
      </c>
      <c r="Y7" s="101" t="s">
        <v>440</v>
      </c>
    </row>
    <row r="8" spans="1:29" ht="175.5" customHeight="1" x14ac:dyDescent="0.15">
      <c r="A8" s="49" t="s">
        <v>259</v>
      </c>
      <c r="B8" s="49" t="s">
        <v>289</v>
      </c>
      <c r="C8" s="50" t="s">
        <v>308</v>
      </c>
      <c r="D8" s="50" t="s">
        <v>116</v>
      </c>
      <c r="E8" s="115" t="s">
        <v>44</v>
      </c>
      <c r="F8" s="51" t="s">
        <v>21</v>
      </c>
      <c r="G8" s="51" t="s">
        <v>253</v>
      </c>
      <c r="H8" s="51" t="s">
        <v>230</v>
      </c>
      <c r="I8" s="53" t="s">
        <v>218</v>
      </c>
      <c r="J8" s="50" t="s">
        <v>292</v>
      </c>
      <c r="K8" s="50" t="s">
        <v>267</v>
      </c>
      <c r="L8" s="52" t="s">
        <v>107</v>
      </c>
      <c r="M8" s="52" t="s">
        <v>110</v>
      </c>
      <c r="N8" s="52" t="s">
        <v>266</v>
      </c>
      <c r="O8" s="85">
        <v>0.96</v>
      </c>
      <c r="P8" s="85">
        <v>0.96</v>
      </c>
      <c r="Q8" s="102">
        <v>0</v>
      </c>
      <c r="R8" s="94">
        <f>2056/2775</f>
        <v>0.74090090090090088</v>
      </c>
      <c r="S8" s="94">
        <f>1551/2327</f>
        <v>0.6665234207133649</v>
      </c>
      <c r="T8" s="142">
        <f>230/646</f>
        <v>0.35603715170278638</v>
      </c>
      <c r="U8" s="142">
        <f>1129/1549</f>
        <v>0.72885732730794062</v>
      </c>
      <c r="V8" s="142" t="s">
        <v>371</v>
      </c>
      <c r="W8" s="140">
        <f>AVERAGE(R8:U8)</f>
        <v>0.62307970015624825</v>
      </c>
      <c r="X8" s="97">
        <f>W8/P8</f>
        <v>0.64904135432942534</v>
      </c>
      <c r="Y8" s="125" t="s">
        <v>443</v>
      </c>
    </row>
    <row r="9" spans="1:29" ht="205" customHeight="1" x14ac:dyDescent="0.15">
      <c r="A9" s="49" t="s">
        <v>259</v>
      </c>
      <c r="B9" s="49" t="s">
        <v>289</v>
      </c>
      <c r="C9" s="50" t="s">
        <v>308</v>
      </c>
      <c r="D9" s="50" t="s">
        <v>116</v>
      </c>
      <c r="E9" s="115" t="s">
        <v>44</v>
      </c>
      <c r="F9" s="51" t="s">
        <v>21</v>
      </c>
      <c r="G9" s="51" t="s">
        <v>49</v>
      </c>
      <c r="H9" s="51" t="s">
        <v>231</v>
      </c>
      <c r="I9" s="53" t="s">
        <v>219</v>
      </c>
      <c r="J9" s="50" t="s">
        <v>293</v>
      </c>
      <c r="K9" s="50" t="s">
        <v>220</v>
      </c>
      <c r="L9" s="52" t="s">
        <v>109</v>
      </c>
      <c r="M9" s="52" t="s">
        <v>110</v>
      </c>
      <c r="N9" s="52" t="s">
        <v>266</v>
      </c>
      <c r="O9" s="85">
        <v>1</v>
      </c>
      <c r="P9" s="85">
        <v>1</v>
      </c>
      <c r="Q9" s="92">
        <f>14.5/13.23</f>
        <v>1.0959939531368101</v>
      </c>
      <c r="R9" s="92">
        <f>31.9/28.59</f>
        <v>1.1157747464148302</v>
      </c>
      <c r="S9" s="92">
        <f>54.9/56.91</f>
        <v>0.9646810753821824</v>
      </c>
      <c r="T9" s="92">
        <f>74.4/68.46</f>
        <v>1.086765994741455</v>
      </c>
      <c r="U9" s="92">
        <f>79.9/84.54</f>
        <v>0.94511473858528505</v>
      </c>
      <c r="V9" s="93">
        <f>92.7/100</f>
        <v>0.92700000000000005</v>
      </c>
      <c r="W9" s="97">
        <f>AVERAGE(Q9:V9)</f>
        <v>1.0225550847100937</v>
      </c>
      <c r="X9" s="97">
        <f t="shared" si="0"/>
        <v>1.0225550847100937</v>
      </c>
      <c r="Y9" s="100" t="s">
        <v>439</v>
      </c>
    </row>
    <row r="10" spans="1:29" ht="191.25" customHeight="1" x14ac:dyDescent="0.15">
      <c r="A10" s="49" t="s">
        <v>259</v>
      </c>
      <c r="B10" s="49" t="s">
        <v>289</v>
      </c>
      <c r="C10" s="50" t="s">
        <v>308</v>
      </c>
      <c r="D10" s="50" t="s">
        <v>116</v>
      </c>
      <c r="E10" s="115" t="s">
        <v>44</v>
      </c>
      <c r="F10" s="51" t="s">
        <v>21</v>
      </c>
      <c r="G10" s="51" t="s">
        <v>49</v>
      </c>
      <c r="H10" s="51" t="s">
        <v>232</v>
      </c>
      <c r="I10" s="53" t="s">
        <v>221</v>
      </c>
      <c r="J10" s="50" t="s">
        <v>222</v>
      </c>
      <c r="K10" s="50" t="s">
        <v>223</v>
      </c>
      <c r="L10" s="52" t="s">
        <v>107</v>
      </c>
      <c r="M10" s="52" t="s">
        <v>110</v>
      </c>
      <c r="N10" s="52" t="s">
        <v>266</v>
      </c>
      <c r="O10" s="85">
        <v>1</v>
      </c>
      <c r="P10" s="85">
        <v>0.99</v>
      </c>
      <c r="Q10" s="97">
        <f>19/17</f>
        <v>1.1176470588235294</v>
      </c>
      <c r="R10" s="97">
        <f>38/33</f>
        <v>1.1515151515151516</v>
      </c>
      <c r="S10" s="97">
        <f>44/47</f>
        <v>0.93617021276595747</v>
      </c>
      <c r="T10" s="97">
        <v>1.05</v>
      </c>
      <c r="U10" s="97">
        <v>0.93</v>
      </c>
      <c r="V10" s="97">
        <v>0.88</v>
      </c>
      <c r="W10" s="97">
        <f>V10</f>
        <v>0.88</v>
      </c>
      <c r="X10" s="97">
        <f>W10/P10</f>
        <v>0.88888888888888895</v>
      </c>
      <c r="Y10" s="141" t="s">
        <v>469</v>
      </c>
    </row>
    <row r="11" spans="1:29" ht="218.25" customHeight="1" x14ac:dyDescent="0.15">
      <c r="A11" s="49" t="s">
        <v>259</v>
      </c>
      <c r="B11" s="49" t="s">
        <v>289</v>
      </c>
      <c r="C11" s="50" t="s">
        <v>308</v>
      </c>
      <c r="D11" s="50" t="s">
        <v>116</v>
      </c>
      <c r="E11" s="115" t="s">
        <v>44</v>
      </c>
      <c r="F11" s="51" t="s">
        <v>21</v>
      </c>
      <c r="G11" s="50" t="s">
        <v>308</v>
      </c>
      <c r="H11" s="51" t="s">
        <v>321</v>
      </c>
      <c r="I11" s="53" t="s">
        <v>322</v>
      </c>
      <c r="J11" s="50" t="s">
        <v>508</v>
      </c>
      <c r="K11" s="50" t="s">
        <v>323</v>
      </c>
      <c r="L11" s="52" t="s">
        <v>107</v>
      </c>
      <c r="M11" s="52" t="s">
        <v>111</v>
      </c>
      <c r="N11" s="52" t="s">
        <v>266</v>
      </c>
      <c r="O11" s="85">
        <v>1</v>
      </c>
      <c r="P11" s="85">
        <v>1</v>
      </c>
      <c r="Q11" s="92" t="s">
        <v>6</v>
      </c>
      <c r="R11" s="92" t="s">
        <v>6</v>
      </c>
      <c r="S11" s="94">
        <f>3/4</f>
        <v>0.75</v>
      </c>
      <c r="T11" s="92" t="s">
        <v>6</v>
      </c>
      <c r="U11" s="92" t="s">
        <v>6</v>
      </c>
      <c r="V11" s="94">
        <f>3/3</f>
        <v>1</v>
      </c>
      <c r="W11" s="94">
        <v>1</v>
      </c>
      <c r="X11" s="94">
        <f t="shared" si="0"/>
        <v>1</v>
      </c>
      <c r="Y11" s="108" t="s">
        <v>507</v>
      </c>
    </row>
    <row r="12" spans="1:29" s="162" customFormat="1" ht="280.5" customHeight="1" x14ac:dyDescent="0.15">
      <c r="A12" s="156" t="s">
        <v>259</v>
      </c>
      <c r="B12" s="156" t="s">
        <v>289</v>
      </c>
      <c r="C12" s="53" t="s">
        <v>308</v>
      </c>
      <c r="D12" s="53" t="s">
        <v>116</v>
      </c>
      <c r="E12" s="157" t="s">
        <v>44</v>
      </c>
      <c r="F12" s="158" t="s">
        <v>21</v>
      </c>
      <c r="G12" s="53" t="s">
        <v>308</v>
      </c>
      <c r="H12" s="158" t="s">
        <v>315</v>
      </c>
      <c r="I12" s="53" t="s">
        <v>316</v>
      </c>
      <c r="J12" s="53" t="s">
        <v>317</v>
      </c>
      <c r="K12" s="53" t="s">
        <v>318</v>
      </c>
      <c r="L12" s="159" t="s">
        <v>109</v>
      </c>
      <c r="M12" s="159" t="s">
        <v>111</v>
      </c>
      <c r="N12" s="159" t="s">
        <v>266</v>
      </c>
      <c r="O12" s="112">
        <v>1</v>
      </c>
      <c r="P12" s="112">
        <v>1</v>
      </c>
      <c r="Q12" s="160">
        <v>1</v>
      </c>
      <c r="R12" s="142">
        <v>1</v>
      </c>
      <c r="S12" s="142">
        <v>0.97</v>
      </c>
      <c r="T12" s="142">
        <v>1.03</v>
      </c>
      <c r="U12" s="142">
        <v>1.03</v>
      </c>
      <c r="V12" s="142">
        <v>1</v>
      </c>
      <c r="W12" s="140">
        <f>AVERAGE(O12:V12)</f>
        <v>1.0037500000000001</v>
      </c>
      <c r="X12" s="140">
        <f>W12/P12</f>
        <v>1.0037500000000001</v>
      </c>
      <c r="Y12" s="161" t="s">
        <v>388</v>
      </c>
    </row>
    <row r="13" spans="1:29" ht="98" customHeight="1" x14ac:dyDescent="0.15">
      <c r="A13" s="49" t="s">
        <v>259</v>
      </c>
      <c r="B13" s="49" t="s">
        <v>289</v>
      </c>
      <c r="C13" s="50" t="s">
        <v>308</v>
      </c>
      <c r="D13" s="50" t="s">
        <v>116</v>
      </c>
      <c r="E13" s="115" t="s">
        <v>44</v>
      </c>
      <c r="F13" s="51" t="s">
        <v>69</v>
      </c>
      <c r="G13" s="51" t="s">
        <v>334</v>
      </c>
      <c r="H13" s="51" t="s">
        <v>325</v>
      </c>
      <c r="I13" s="53" t="s">
        <v>422</v>
      </c>
      <c r="J13" s="53" t="s">
        <v>332</v>
      </c>
      <c r="K13" s="50" t="s">
        <v>326</v>
      </c>
      <c r="L13" s="52" t="s">
        <v>107</v>
      </c>
      <c r="M13" s="52" t="s">
        <v>111</v>
      </c>
      <c r="N13" s="52" t="s">
        <v>266</v>
      </c>
      <c r="O13" s="85">
        <v>1</v>
      </c>
      <c r="P13" s="85">
        <v>1</v>
      </c>
      <c r="Q13" s="97" t="s">
        <v>6</v>
      </c>
      <c r="R13" s="97" t="s">
        <v>6</v>
      </c>
      <c r="S13" s="94">
        <f>5/5</f>
        <v>1</v>
      </c>
      <c r="T13" s="94" t="s">
        <v>6</v>
      </c>
      <c r="U13" s="94">
        <v>1</v>
      </c>
      <c r="V13" s="94">
        <v>1</v>
      </c>
      <c r="W13" s="94">
        <f>AVERAGE(S13,U13,V13)</f>
        <v>1</v>
      </c>
      <c r="X13" s="94">
        <f>W13/P13</f>
        <v>1</v>
      </c>
      <c r="Y13" s="107" t="s">
        <v>503</v>
      </c>
    </row>
    <row r="14" spans="1:29" ht="98" customHeight="1" x14ac:dyDescent="0.15">
      <c r="A14" s="49" t="s">
        <v>259</v>
      </c>
      <c r="B14" s="49" t="s">
        <v>166</v>
      </c>
      <c r="C14" s="50" t="s">
        <v>308</v>
      </c>
      <c r="D14" s="50" t="s">
        <v>116</v>
      </c>
      <c r="E14" s="115" t="s">
        <v>44</v>
      </c>
      <c r="F14" s="51" t="s">
        <v>21</v>
      </c>
      <c r="G14" s="51" t="s">
        <v>334</v>
      </c>
      <c r="H14" s="51" t="s">
        <v>325</v>
      </c>
      <c r="I14" s="53" t="s">
        <v>419</v>
      </c>
      <c r="J14" s="53" t="s">
        <v>332</v>
      </c>
      <c r="K14" s="50" t="s">
        <v>504</v>
      </c>
      <c r="L14" s="52" t="s">
        <v>107</v>
      </c>
      <c r="M14" s="52" t="s">
        <v>111</v>
      </c>
      <c r="N14" s="52" t="s">
        <v>266</v>
      </c>
      <c r="O14" s="85">
        <v>1</v>
      </c>
      <c r="P14" s="85">
        <v>1</v>
      </c>
      <c r="Q14" s="97" t="s">
        <v>6</v>
      </c>
      <c r="R14" s="97" t="s">
        <v>505</v>
      </c>
      <c r="S14" s="94" t="s">
        <v>371</v>
      </c>
      <c r="T14" s="94" t="s">
        <v>6</v>
      </c>
      <c r="U14" s="94" t="s">
        <v>506</v>
      </c>
      <c r="V14" s="94">
        <v>0.7</v>
      </c>
      <c r="W14" s="94">
        <f>AVERAGE(V14)</f>
        <v>0.7</v>
      </c>
      <c r="X14" s="94">
        <f>W14/P14</f>
        <v>0.7</v>
      </c>
      <c r="Y14" s="107" t="s">
        <v>421</v>
      </c>
    </row>
    <row r="15" spans="1:29" ht="108" customHeight="1" x14ac:dyDescent="0.15">
      <c r="A15" s="49" t="s">
        <v>259</v>
      </c>
      <c r="B15" s="49" t="s">
        <v>166</v>
      </c>
      <c r="C15" s="50" t="s">
        <v>308</v>
      </c>
      <c r="D15" s="50" t="s">
        <v>116</v>
      </c>
      <c r="E15" s="115" t="s">
        <v>44</v>
      </c>
      <c r="F15" s="51" t="s">
        <v>21</v>
      </c>
      <c r="G15" s="51" t="s">
        <v>334</v>
      </c>
      <c r="H15" s="51" t="s">
        <v>325</v>
      </c>
      <c r="I15" s="53" t="s">
        <v>327</v>
      </c>
      <c r="J15" s="50" t="s">
        <v>328</v>
      </c>
      <c r="K15" s="50" t="s">
        <v>329</v>
      </c>
      <c r="L15" s="52" t="s">
        <v>107</v>
      </c>
      <c r="M15" s="52" t="s">
        <v>111</v>
      </c>
      <c r="N15" s="52" t="s">
        <v>266</v>
      </c>
      <c r="O15" s="85">
        <v>1</v>
      </c>
      <c r="P15" s="85">
        <v>1</v>
      </c>
      <c r="Q15" s="92" t="s">
        <v>6</v>
      </c>
      <c r="R15" s="92" t="s">
        <v>6</v>
      </c>
      <c r="S15" s="92">
        <f>11/12</f>
        <v>0.91666666666666663</v>
      </c>
      <c r="T15" s="92" t="s">
        <v>6</v>
      </c>
      <c r="U15" s="92" t="s">
        <v>6</v>
      </c>
      <c r="V15" s="94">
        <f>5/5</f>
        <v>1</v>
      </c>
      <c r="W15" s="93">
        <f>AVERAGE(S15,V15)</f>
        <v>0.95833333333333326</v>
      </c>
      <c r="X15" s="93">
        <f>W15/P15</f>
        <v>0.95833333333333326</v>
      </c>
      <c r="Y15" s="107" t="s">
        <v>492</v>
      </c>
      <c r="Z15" s="103"/>
    </row>
    <row r="16" spans="1:29" ht="153.75" customHeight="1" x14ac:dyDescent="0.15">
      <c r="A16" s="49" t="s">
        <v>259</v>
      </c>
      <c r="B16" s="49" t="s">
        <v>289</v>
      </c>
      <c r="C16" s="50" t="s">
        <v>308</v>
      </c>
      <c r="D16" s="50" t="s">
        <v>116</v>
      </c>
      <c r="E16" s="115" t="s">
        <v>44</v>
      </c>
      <c r="F16" s="51" t="s">
        <v>35</v>
      </c>
      <c r="G16" s="51" t="s">
        <v>45</v>
      </c>
      <c r="H16" s="51" t="s">
        <v>320</v>
      </c>
      <c r="I16" s="53" t="s">
        <v>309</v>
      </c>
      <c r="J16" s="50" t="s">
        <v>310</v>
      </c>
      <c r="K16" s="50" t="s">
        <v>311</v>
      </c>
      <c r="L16" s="52" t="s">
        <v>108</v>
      </c>
      <c r="M16" s="52" t="s">
        <v>111</v>
      </c>
      <c r="N16" s="52" t="s">
        <v>266</v>
      </c>
      <c r="O16" s="85">
        <v>1</v>
      </c>
      <c r="P16" s="112">
        <v>0.9</v>
      </c>
      <c r="Q16" s="93" t="s">
        <v>6</v>
      </c>
      <c r="R16" s="93" t="s">
        <v>6</v>
      </c>
      <c r="S16" s="93">
        <v>0.83330000000000004</v>
      </c>
      <c r="T16" s="93" t="s">
        <v>6</v>
      </c>
      <c r="U16" s="93" t="s">
        <v>6</v>
      </c>
      <c r="V16" s="93">
        <v>1.1111</v>
      </c>
      <c r="W16" s="93">
        <f>AVERAGE(S16,V16)</f>
        <v>0.97219999999999995</v>
      </c>
      <c r="X16" s="93">
        <f>+W16/P16</f>
        <v>1.0802222222222222</v>
      </c>
      <c r="Y16" s="100" t="s">
        <v>442</v>
      </c>
      <c r="Z16" s="103"/>
    </row>
    <row r="17" spans="1:26" ht="153.75" customHeight="1" x14ac:dyDescent="0.15">
      <c r="A17" s="49" t="s">
        <v>259</v>
      </c>
      <c r="B17" s="49" t="s">
        <v>289</v>
      </c>
      <c r="C17" s="50" t="s">
        <v>308</v>
      </c>
      <c r="D17" s="50" t="s">
        <v>116</v>
      </c>
      <c r="E17" s="115" t="s">
        <v>44</v>
      </c>
      <c r="F17" s="51" t="s">
        <v>35</v>
      </c>
      <c r="G17" s="51" t="s">
        <v>45</v>
      </c>
      <c r="H17" s="51" t="s">
        <v>319</v>
      </c>
      <c r="I17" s="53" t="s">
        <v>312</v>
      </c>
      <c r="J17" s="50" t="s">
        <v>313</v>
      </c>
      <c r="K17" s="50" t="s">
        <v>314</v>
      </c>
      <c r="L17" s="52" t="s">
        <v>109</v>
      </c>
      <c r="M17" s="52" t="s">
        <v>111</v>
      </c>
      <c r="N17" s="52" t="s">
        <v>266</v>
      </c>
      <c r="O17" s="85">
        <v>0.4</v>
      </c>
      <c r="P17" s="85">
        <v>0.3</v>
      </c>
      <c r="Q17" s="93" t="s">
        <v>6</v>
      </c>
      <c r="R17" s="93" t="s">
        <v>6</v>
      </c>
      <c r="S17" s="93">
        <f>52345/59319</f>
        <v>0.8824322729648173</v>
      </c>
      <c r="T17" s="93" t="s">
        <v>6</v>
      </c>
      <c r="U17" s="93" t="s">
        <v>6</v>
      </c>
      <c r="V17" s="93">
        <f>52345/66850</f>
        <v>0.78302169035153324</v>
      </c>
      <c r="W17" s="94">
        <f>AVERAGE(S17,V17)</f>
        <v>0.83272698165817527</v>
      </c>
      <c r="X17" s="93">
        <f>W17/15%</f>
        <v>5.5515132110545018</v>
      </c>
      <c r="Y17" s="100" t="s">
        <v>441</v>
      </c>
      <c r="Z17" s="103"/>
    </row>
    <row r="18" spans="1:26" ht="153.75" customHeight="1" x14ac:dyDescent="0.15">
      <c r="A18" s="137" t="s">
        <v>268</v>
      </c>
      <c r="B18" s="137" t="s">
        <v>167</v>
      </c>
      <c r="C18" s="135" t="s">
        <v>475</v>
      </c>
      <c r="D18" s="50" t="s">
        <v>115</v>
      </c>
      <c r="E18" s="138" t="s">
        <v>31</v>
      </c>
      <c r="F18" s="51" t="s">
        <v>41</v>
      </c>
      <c r="G18" s="51" t="s">
        <v>49</v>
      </c>
      <c r="H18" s="51">
        <v>115</v>
      </c>
      <c r="I18" s="53" t="s">
        <v>470</v>
      </c>
      <c r="J18" s="50" t="s">
        <v>471</v>
      </c>
      <c r="K18" s="50" t="s">
        <v>472</v>
      </c>
      <c r="L18" s="52" t="s">
        <v>107</v>
      </c>
      <c r="M18" s="52" t="s">
        <v>111</v>
      </c>
      <c r="N18" s="52" t="s">
        <v>473</v>
      </c>
      <c r="O18" s="85"/>
      <c r="P18" s="152">
        <v>3564462</v>
      </c>
      <c r="Q18" s="93">
        <f>1235197/1259419</f>
        <v>0.98076732207470274</v>
      </c>
      <c r="R18" s="93">
        <f>1009630/1018122</f>
        <v>0.99165915283237172</v>
      </c>
      <c r="S18" s="93">
        <f>634319/875390</f>
        <v>0.7246130296210832</v>
      </c>
      <c r="T18" s="93">
        <f>2156/5458</f>
        <v>0.39501648955661417</v>
      </c>
      <c r="U18" s="93">
        <f>7211/5426</f>
        <v>1.3289716181349061</v>
      </c>
      <c r="V18" s="93" t="s">
        <v>371</v>
      </c>
      <c r="W18" s="93">
        <f>AVERAGE(Q18:V18)</f>
        <v>0.88420552244393558</v>
      </c>
      <c r="X18" s="93">
        <f>2888513/3564462</f>
        <v>0.81036436915304466</v>
      </c>
      <c r="Y18" s="101" t="s">
        <v>474</v>
      </c>
      <c r="Z18" s="103"/>
    </row>
    <row r="19" spans="1:26" ht="153.75" customHeight="1" x14ac:dyDescent="0.15">
      <c r="A19" s="137" t="s">
        <v>268</v>
      </c>
      <c r="B19" s="137" t="s">
        <v>279</v>
      </c>
      <c r="C19" s="135" t="s">
        <v>280</v>
      </c>
      <c r="D19" s="135" t="s">
        <v>281</v>
      </c>
      <c r="E19" s="138" t="s">
        <v>485</v>
      </c>
      <c r="F19" s="128" t="s">
        <v>41</v>
      </c>
      <c r="G19" s="128" t="s">
        <v>49</v>
      </c>
      <c r="H19" s="128" t="s">
        <v>476</v>
      </c>
      <c r="I19" s="151" t="s">
        <v>477</v>
      </c>
      <c r="J19" s="135" t="s">
        <v>478</v>
      </c>
      <c r="K19" s="135" t="s">
        <v>491</v>
      </c>
      <c r="L19" s="136" t="s">
        <v>107</v>
      </c>
      <c r="M19" s="136" t="s">
        <v>111</v>
      </c>
      <c r="N19" s="136" t="s">
        <v>269</v>
      </c>
      <c r="O19" s="85"/>
      <c r="P19" s="152">
        <v>396495</v>
      </c>
      <c r="Q19" s="94">
        <f>152213/123006</f>
        <v>1.2374437019332389</v>
      </c>
      <c r="R19" s="94">
        <f>167603/122936</f>
        <v>1.3633353940261599</v>
      </c>
      <c r="S19" s="94">
        <f>76575/102725</f>
        <v>0.74543684594791915</v>
      </c>
      <c r="T19" s="94">
        <f>404/603</f>
        <v>0.66998341625207292</v>
      </c>
      <c r="U19" s="94">
        <f>648/596</f>
        <v>1.087248322147651</v>
      </c>
      <c r="V19" s="94">
        <f>1215/595</f>
        <v>2.0420168067226889</v>
      </c>
      <c r="W19" s="94">
        <f>AVERAGE(Q19:V19)</f>
        <v>1.1909107478382885</v>
      </c>
      <c r="X19" s="94">
        <f>398658/396495</f>
        <v>1.0054553020845156</v>
      </c>
      <c r="Y19" s="101" t="s">
        <v>479</v>
      </c>
      <c r="Z19" s="103"/>
    </row>
    <row r="20" spans="1:26" ht="153.75" customHeight="1" x14ac:dyDescent="0.15">
      <c r="A20" s="137" t="s">
        <v>268</v>
      </c>
      <c r="B20" s="137" t="s">
        <v>279</v>
      </c>
      <c r="C20" s="135" t="s">
        <v>280</v>
      </c>
      <c r="D20" s="135" t="s">
        <v>281</v>
      </c>
      <c r="E20" s="138" t="s">
        <v>485</v>
      </c>
      <c r="F20" s="128" t="s">
        <v>41</v>
      </c>
      <c r="G20" s="128" t="s">
        <v>49</v>
      </c>
      <c r="H20" s="128" t="s">
        <v>480</v>
      </c>
      <c r="I20" s="151" t="s">
        <v>481</v>
      </c>
      <c r="J20" s="135" t="s">
        <v>482</v>
      </c>
      <c r="K20" s="135" t="s">
        <v>483</v>
      </c>
      <c r="L20" s="136" t="s">
        <v>107</v>
      </c>
      <c r="M20" s="136" t="s">
        <v>111</v>
      </c>
      <c r="N20" s="136" t="s">
        <v>269</v>
      </c>
      <c r="O20" s="85"/>
      <c r="P20" s="152">
        <v>2672569</v>
      </c>
      <c r="Q20" s="94">
        <f>921342/836793</f>
        <v>1.1010393251377582</v>
      </c>
      <c r="R20" s="94">
        <f>915256/837444</f>
        <v>1.0929160636412703</v>
      </c>
      <c r="S20" s="94">
        <f>545108/712558</f>
        <v>0.76500158583581968</v>
      </c>
      <c r="T20" s="94" t="s">
        <v>371</v>
      </c>
      <c r="U20" s="94" t="s">
        <v>371</v>
      </c>
      <c r="V20" s="94" t="s">
        <v>371</v>
      </c>
      <c r="W20" s="94">
        <f>AVERAGE(Q20:S20)</f>
        <v>0.98631899153828273</v>
      </c>
      <c r="X20" s="94">
        <f>2381706/2672569</f>
        <v>0.8911672626600099</v>
      </c>
      <c r="Y20" s="101" t="s">
        <v>484</v>
      </c>
      <c r="Z20" s="103"/>
    </row>
    <row r="21" spans="1:26" ht="83.25" customHeight="1" x14ac:dyDescent="0.15">
      <c r="A21" s="137" t="s">
        <v>268</v>
      </c>
      <c r="B21" s="137" t="s">
        <v>279</v>
      </c>
      <c r="C21" s="135" t="s">
        <v>280</v>
      </c>
      <c r="D21" s="135" t="s">
        <v>281</v>
      </c>
      <c r="E21" s="138" t="s">
        <v>31</v>
      </c>
      <c r="F21" s="128" t="s">
        <v>41</v>
      </c>
      <c r="G21" s="128" t="s">
        <v>49</v>
      </c>
      <c r="H21" s="128" t="s">
        <v>486</v>
      </c>
      <c r="I21" s="151" t="s">
        <v>487</v>
      </c>
      <c r="J21" s="135" t="s">
        <v>488</v>
      </c>
      <c r="K21" s="135" t="s">
        <v>489</v>
      </c>
      <c r="L21" s="136" t="s">
        <v>107</v>
      </c>
      <c r="M21" s="136" t="s">
        <v>111</v>
      </c>
      <c r="N21" s="136" t="s">
        <v>269</v>
      </c>
      <c r="O21" s="153"/>
      <c r="P21" s="153">
        <v>744697</v>
      </c>
      <c r="Q21" s="94">
        <f>146912/168293</f>
        <v>0.87295371762343055</v>
      </c>
      <c r="R21" s="94">
        <f>163440/168005</f>
        <v>0.97282818963721318</v>
      </c>
      <c r="S21" s="94">
        <f>84045/143236</f>
        <v>0.58675891535647462</v>
      </c>
      <c r="T21" s="94" t="s">
        <v>371</v>
      </c>
      <c r="U21" s="94" t="s">
        <v>371</v>
      </c>
      <c r="V21" s="94" t="s">
        <v>371</v>
      </c>
      <c r="W21" s="94">
        <f>AVERAGE(Q21:S21)</f>
        <v>0.81084694087237275</v>
      </c>
      <c r="X21" s="94">
        <f>394397/744697</f>
        <v>0.52960734365789042</v>
      </c>
      <c r="Y21" s="101" t="s">
        <v>490</v>
      </c>
    </row>
    <row r="22" spans="1:26" ht="118.5" customHeight="1" x14ac:dyDescent="0.15">
      <c r="A22" s="49" t="s">
        <v>268</v>
      </c>
      <c r="B22" s="49" t="s">
        <v>279</v>
      </c>
      <c r="C22" s="50" t="s">
        <v>308</v>
      </c>
      <c r="D22" s="50" t="s">
        <v>116</v>
      </c>
      <c r="E22" s="115" t="s">
        <v>44</v>
      </c>
      <c r="F22" s="51" t="s">
        <v>41</v>
      </c>
      <c r="G22" s="51" t="s">
        <v>334</v>
      </c>
      <c r="H22" s="51" t="s">
        <v>325</v>
      </c>
      <c r="I22" s="53" t="s">
        <v>362</v>
      </c>
      <c r="J22" s="50" t="s">
        <v>330</v>
      </c>
      <c r="K22" s="50" t="s">
        <v>329</v>
      </c>
      <c r="L22" s="52" t="s">
        <v>107</v>
      </c>
      <c r="M22" s="52" t="s">
        <v>111</v>
      </c>
      <c r="N22" s="52" t="s">
        <v>266</v>
      </c>
      <c r="O22" s="84">
        <v>1</v>
      </c>
      <c r="P22" s="84">
        <v>1</v>
      </c>
      <c r="Q22" s="93" t="s">
        <v>6</v>
      </c>
      <c r="R22" s="93" t="s">
        <v>6</v>
      </c>
      <c r="S22" s="93">
        <v>0</v>
      </c>
      <c r="T22" s="93" t="s">
        <v>6</v>
      </c>
      <c r="U22" s="93" t="s">
        <v>6</v>
      </c>
      <c r="V22" s="94">
        <f>5/5</f>
        <v>1</v>
      </c>
      <c r="W22" s="94">
        <f>AVERAGE(S22,V22)</f>
        <v>0.5</v>
      </c>
      <c r="X22" s="94">
        <f>W22/P22</f>
        <v>0.5</v>
      </c>
      <c r="Y22" s="104" t="s">
        <v>493</v>
      </c>
    </row>
    <row r="23" spans="1:26" ht="160.5" customHeight="1" x14ac:dyDescent="0.15">
      <c r="A23" s="49" t="s">
        <v>268</v>
      </c>
      <c r="B23" s="49" t="s">
        <v>167</v>
      </c>
      <c r="C23" s="50" t="s">
        <v>28</v>
      </c>
      <c r="D23" s="50" t="s">
        <v>115</v>
      </c>
      <c r="E23" s="115" t="s">
        <v>31</v>
      </c>
      <c r="F23" s="51" t="s">
        <v>46</v>
      </c>
      <c r="G23" s="51" t="s">
        <v>49</v>
      </c>
      <c r="H23" s="51" t="s">
        <v>242</v>
      </c>
      <c r="I23" s="53" t="s">
        <v>213</v>
      </c>
      <c r="J23" s="50" t="s">
        <v>214</v>
      </c>
      <c r="K23" s="50" t="s">
        <v>215</v>
      </c>
      <c r="L23" s="52" t="s">
        <v>109</v>
      </c>
      <c r="M23" s="52" t="s">
        <v>110</v>
      </c>
      <c r="N23" s="52" t="s">
        <v>269</v>
      </c>
      <c r="O23" s="113">
        <v>0.95</v>
      </c>
      <c r="P23" s="113">
        <v>1</v>
      </c>
      <c r="Q23" s="95" t="s">
        <v>371</v>
      </c>
      <c r="R23" s="97">
        <f>98/100</f>
        <v>0.98</v>
      </c>
      <c r="S23" s="97">
        <f>95/100</f>
        <v>0.95</v>
      </c>
      <c r="T23" s="97" t="s">
        <v>371</v>
      </c>
      <c r="U23" s="97">
        <f>91/100</f>
        <v>0.91</v>
      </c>
      <c r="V23" s="97">
        <f>91/100</f>
        <v>0.91</v>
      </c>
      <c r="W23" s="114">
        <f>AVERAGE(Q23:V23)</f>
        <v>0.9375</v>
      </c>
      <c r="X23" s="114">
        <f>W23/P23</f>
        <v>0.9375</v>
      </c>
      <c r="Y23" s="141" t="s">
        <v>426</v>
      </c>
    </row>
    <row r="24" spans="1:26" ht="160.5" customHeight="1" x14ac:dyDescent="0.15">
      <c r="A24" s="49" t="s">
        <v>268</v>
      </c>
      <c r="B24" s="49" t="s">
        <v>167</v>
      </c>
      <c r="C24" s="50" t="s">
        <v>28</v>
      </c>
      <c r="D24" s="50" t="s">
        <v>115</v>
      </c>
      <c r="E24" s="115" t="s">
        <v>31</v>
      </c>
      <c r="F24" s="51" t="s">
        <v>46</v>
      </c>
      <c r="G24" s="51" t="s">
        <v>254</v>
      </c>
      <c r="H24" s="51" t="s">
        <v>243</v>
      </c>
      <c r="I24" s="53" t="s">
        <v>294</v>
      </c>
      <c r="J24" s="53" t="s">
        <v>295</v>
      </c>
      <c r="K24" s="50" t="s">
        <v>258</v>
      </c>
      <c r="L24" s="52" t="s">
        <v>107</v>
      </c>
      <c r="M24" s="52" t="s">
        <v>110</v>
      </c>
      <c r="N24" s="52" t="s">
        <v>269</v>
      </c>
      <c r="O24" s="98">
        <v>20751</v>
      </c>
      <c r="P24" s="98">
        <v>223</v>
      </c>
      <c r="Q24" s="95" t="s">
        <v>371</v>
      </c>
      <c r="R24" s="97">
        <f>25/223</f>
        <v>0.11210762331838565</v>
      </c>
      <c r="S24" s="97">
        <f>198/223</f>
        <v>0.88789237668161436</v>
      </c>
      <c r="T24" s="97" t="s">
        <v>371</v>
      </c>
      <c r="U24" s="97">
        <f>(22+198+25)/223</f>
        <v>1.0986547085201794</v>
      </c>
      <c r="V24" s="97">
        <f>(22+198+25+44)/223</f>
        <v>1.2959641255605381</v>
      </c>
      <c r="W24" s="97">
        <f>289/223</f>
        <v>1.2959641255605381</v>
      </c>
      <c r="X24" s="97">
        <f>289/223</f>
        <v>1.2959641255605381</v>
      </c>
      <c r="Y24" s="141" t="s">
        <v>445</v>
      </c>
    </row>
    <row r="25" spans="1:26" ht="160.5" customHeight="1" x14ac:dyDescent="0.15">
      <c r="A25" s="137" t="s">
        <v>268</v>
      </c>
      <c r="B25" s="137" t="s">
        <v>168</v>
      </c>
      <c r="C25" s="135" t="s">
        <v>23</v>
      </c>
      <c r="D25" s="135" t="s">
        <v>115</v>
      </c>
      <c r="E25" s="138" t="s">
        <v>31</v>
      </c>
      <c r="F25" s="128" t="s">
        <v>46</v>
      </c>
      <c r="G25" s="128" t="s">
        <v>68</v>
      </c>
      <c r="H25" s="128" t="s">
        <v>431</v>
      </c>
      <c r="I25" s="151" t="s">
        <v>432</v>
      </c>
      <c r="J25" s="135" t="s">
        <v>433</v>
      </c>
      <c r="K25" s="135" t="s">
        <v>434</v>
      </c>
      <c r="L25" s="136" t="s">
        <v>107</v>
      </c>
      <c r="M25" s="136" t="s">
        <v>112</v>
      </c>
      <c r="N25" s="136" t="s">
        <v>269</v>
      </c>
      <c r="O25" s="139">
        <v>5</v>
      </c>
      <c r="P25" s="139">
        <v>5</v>
      </c>
      <c r="Q25" s="95" t="s">
        <v>371</v>
      </c>
      <c r="R25" s="97" t="s">
        <v>371</v>
      </c>
      <c r="S25" s="97" t="s">
        <v>371</v>
      </c>
      <c r="T25" s="97">
        <f>4/5</f>
        <v>0.8</v>
      </c>
      <c r="U25" s="97">
        <v>0</v>
      </c>
      <c r="V25" s="97">
        <f>1/5</f>
        <v>0.2</v>
      </c>
      <c r="W25" s="140">
        <f>SUM(T25:V25)</f>
        <v>1</v>
      </c>
      <c r="X25" s="97">
        <f>5/5</f>
        <v>1</v>
      </c>
      <c r="Y25" s="101" t="s">
        <v>435</v>
      </c>
    </row>
    <row r="26" spans="1:26" ht="160.5" customHeight="1" x14ac:dyDescent="0.15">
      <c r="A26" s="137" t="s">
        <v>268</v>
      </c>
      <c r="B26" s="137" t="s">
        <v>167</v>
      </c>
      <c r="C26" s="135" t="s">
        <v>28</v>
      </c>
      <c r="D26" s="135" t="s">
        <v>115</v>
      </c>
      <c r="E26" s="138" t="s">
        <v>31</v>
      </c>
      <c r="F26" s="128" t="s">
        <v>46</v>
      </c>
      <c r="G26" s="128" t="s">
        <v>78</v>
      </c>
      <c r="H26" s="128" t="s">
        <v>427</v>
      </c>
      <c r="I26" s="151" t="s">
        <v>428</v>
      </c>
      <c r="J26" s="135" t="s">
        <v>430</v>
      </c>
      <c r="K26" s="135" t="s">
        <v>429</v>
      </c>
      <c r="L26" s="136" t="s">
        <v>107</v>
      </c>
      <c r="M26" s="136" t="s">
        <v>112</v>
      </c>
      <c r="N26" s="136" t="s">
        <v>269</v>
      </c>
      <c r="O26" s="139">
        <v>6</v>
      </c>
      <c r="P26" s="139">
        <v>6</v>
      </c>
      <c r="Q26" s="95" t="s">
        <v>371</v>
      </c>
      <c r="R26" s="97" t="s">
        <v>371</v>
      </c>
      <c r="S26" s="97" t="s">
        <v>371</v>
      </c>
      <c r="T26" s="97">
        <f>4/6</f>
        <v>0.66666666666666663</v>
      </c>
      <c r="U26" s="97">
        <v>0</v>
      </c>
      <c r="V26" s="97">
        <f>2/6</f>
        <v>0.33333333333333331</v>
      </c>
      <c r="W26" s="140">
        <f>SUM(T26:V26)</f>
        <v>1</v>
      </c>
      <c r="X26" s="97">
        <f>6/6</f>
        <v>1</v>
      </c>
      <c r="Y26" s="141" t="s">
        <v>444</v>
      </c>
    </row>
    <row r="27" spans="1:26" ht="88.5" customHeight="1" x14ac:dyDescent="0.15">
      <c r="A27" s="137" t="s">
        <v>268</v>
      </c>
      <c r="B27" s="137" t="s">
        <v>167</v>
      </c>
      <c r="C27" s="135" t="s">
        <v>28</v>
      </c>
      <c r="D27" s="135" t="s">
        <v>115</v>
      </c>
      <c r="E27" s="138" t="s">
        <v>31</v>
      </c>
      <c r="F27" s="128" t="s">
        <v>46</v>
      </c>
      <c r="G27" s="128" t="s">
        <v>104</v>
      </c>
      <c r="H27" s="128" t="s">
        <v>325</v>
      </c>
      <c r="I27" s="135" t="s">
        <v>331</v>
      </c>
      <c r="J27" s="151" t="s">
        <v>332</v>
      </c>
      <c r="K27" s="135" t="s">
        <v>340</v>
      </c>
      <c r="L27" s="136" t="s">
        <v>107</v>
      </c>
      <c r="M27" s="136" t="s">
        <v>111</v>
      </c>
      <c r="N27" s="136" t="s">
        <v>266</v>
      </c>
      <c r="O27" s="113">
        <v>1</v>
      </c>
      <c r="P27" s="113">
        <v>1</v>
      </c>
      <c r="Q27" s="97">
        <v>0.7</v>
      </c>
      <c r="R27" s="155" t="s">
        <v>6</v>
      </c>
      <c r="S27" s="97" t="s">
        <v>6</v>
      </c>
      <c r="T27" s="97">
        <f t="shared" ref="T27" si="1">AVERAGE(Q27:S27)</f>
        <v>0.7</v>
      </c>
      <c r="U27" s="97">
        <f>T27/P27</f>
        <v>0.7</v>
      </c>
      <c r="V27" s="141" t="s">
        <v>382</v>
      </c>
      <c r="W27" s="140"/>
      <c r="X27" s="97"/>
      <c r="Y27" s="141"/>
    </row>
    <row r="28" spans="1:26" ht="82.5" customHeight="1" x14ac:dyDescent="0.15">
      <c r="A28" s="49" t="s">
        <v>268</v>
      </c>
      <c r="B28" s="49" t="s">
        <v>167</v>
      </c>
      <c r="C28" s="50" t="s">
        <v>308</v>
      </c>
      <c r="D28" s="50" t="s">
        <v>116</v>
      </c>
      <c r="E28" s="115" t="s">
        <v>44</v>
      </c>
      <c r="F28" s="51" t="s">
        <v>46</v>
      </c>
      <c r="G28" s="51" t="s">
        <v>334</v>
      </c>
      <c r="H28" s="51" t="s">
        <v>325</v>
      </c>
      <c r="I28" s="53" t="s">
        <v>363</v>
      </c>
      <c r="J28" s="50" t="s">
        <v>328</v>
      </c>
      <c r="K28" s="50" t="s">
        <v>329</v>
      </c>
      <c r="L28" s="52" t="s">
        <v>107</v>
      </c>
      <c r="M28" s="52" t="s">
        <v>255</v>
      </c>
      <c r="N28" s="52" t="s">
        <v>266</v>
      </c>
      <c r="O28" s="113">
        <v>1</v>
      </c>
      <c r="P28" s="113">
        <v>1</v>
      </c>
      <c r="Q28" s="95" t="s">
        <v>6</v>
      </c>
      <c r="R28" s="95" t="s">
        <v>6</v>
      </c>
      <c r="S28" s="93">
        <f>3/8</f>
        <v>0.375</v>
      </c>
      <c r="T28" s="95" t="s">
        <v>6</v>
      </c>
      <c r="U28" s="95" t="s">
        <v>6</v>
      </c>
      <c r="V28" s="93">
        <f>5/7</f>
        <v>0.7142857142857143</v>
      </c>
      <c r="W28" s="93">
        <f>AVERAGE(S28,V28)</f>
        <v>0.54464285714285721</v>
      </c>
      <c r="X28" s="93">
        <f>W28/P28</f>
        <v>0.54464285714285721</v>
      </c>
      <c r="Y28" s="107" t="s">
        <v>494</v>
      </c>
    </row>
    <row r="29" spans="1:26" ht="102.75" customHeight="1" x14ac:dyDescent="0.15">
      <c r="A29" s="49" t="s">
        <v>268</v>
      </c>
      <c r="B29" s="49" t="s">
        <v>165</v>
      </c>
      <c r="C29" s="50" t="s">
        <v>55</v>
      </c>
      <c r="D29" s="50" t="s">
        <v>114</v>
      </c>
      <c r="E29" s="115" t="s">
        <v>38</v>
      </c>
      <c r="F29" s="51" t="s">
        <v>51</v>
      </c>
      <c r="G29" s="51" t="s">
        <v>85</v>
      </c>
      <c r="H29" s="51" t="s">
        <v>244</v>
      </c>
      <c r="I29" s="53" t="s">
        <v>207</v>
      </c>
      <c r="J29" s="50" t="s">
        <v>208</v>
      </c>
      <c r="K29" s="50" t="s">
        <v>209</v>
      </c>
      <c r="L29" s="52" t="s">
        <v>107</v>
      </c>
      <c r="M29" s="52" t="s">
        <v>110</v>
      </c>
      <c r="N29" s="52" t="s">
        <v>269</v>
      </c>
      <c r="O29" s="89">
        <v>301</v>
      </c>
      <c r="P29" s="89">
        <v>5</v>
      </c>
      <c r="Q29" s="113">
        <f>2/2</f>
        <v>1</v>
      </c>
      <c r="R29" s="113">
        <f>3/2</f>
        <v>1.5</v>
      </c>
      <c r="S29" s="97">
        <v>0</v>
      </c>
      <c r="T29" s="97" t="s">
        <v>371</v>
      </c>
      <c r="U29" s="97" t="s">
        <v>371</v>
      </c>
      <c r="V29" s="97" t="s">
        <v>371</v>
      </c>
      <c r="W29" s="113">
        <f>5/5</f>
        <v>1</v>
      </c>
      <c r="X29" s="113">
        <f>IF(P29=0,0,(5/P29))</f>
        <v>1</v>
      </c>
      <c r="Y29" s="134" t="s">
        <v>447</v>
      </c>
    </row>
    <row r="30" spans="1:26" ht="56.25" customHeight="1" x14ac:dyDescent="0.15">
      <c r="A30" s="49" t="s">
        <v>268</v>
      </c>
      <c r="B30" s="49" t="s">
        <v>164</v>
      </c>
      <c r="C30" s="50" t="s">
        <v>50</v>
      </c>
      <c r="D30" s="50" t="s">
        <v>114</v>
      </c>
      <c r="E30" s="115" t="s">
        <v>38</v>
      </c>
      <c r="F30" s="51" t="s">
        <v>51</v>
      </c>
      <c r="G30" s="51" t="s">
        <v>84</v>
      </c>
      <c r="H30" s="51" t="s">
        <v>245</v>
      </c>
      <c r="I30" s="53" t="s">
        <v>273</v>
      </c>
      <c r="J30" s="50" t="s">
        <v>282</v>
      </c>
      <c r="K30" s="50" t="s">
        <v>272</v>
      </c>
      <c r="L30" s="52" t="s">
        <v>109</v>
      </c>
      <c r="M30" s="52" t="s">
        <v>110</v>
      </c>
      <c r="N30" s="52" t="s">
        <v>266</v>
      </c>
      <c r="O30" s="90">
        <v>4.8</v>
      </c>
      <c r="P30" s="90">
        <v>4.8</v>
      </c>
      <c r="Q30" s="94">
        <f>4.9/4.8</f>
        <v>1.0208333333333335</v>
      </c>
      <c r="R30" s="94">
        <f>4.9/4.8</f>
        <v>1.0208333333333335</v>
      </c>
      <c r="S30" s="94">
        <f>5/4.8</f>
        <v>1.0416666666666667</v>
      </c>
      <c r="T30" s="94" t="s">
        <v>371</v>
      </c>
      <c r="U30" s="94" t="s">
        <v>371</v>
      </c>
      <c r="V30" s="94" t="s">
        <v>371</v>
      </c>
      <c r="W30" s="94">
        <f>AVERAGE(Q30:S30)</f>
        <v>1.0277777777777779</v>
      </c>
      <c r="X30" s="113">
        <v>1.03</v>
      </c>
      <c r="Y30" s="145" t="s">
        <v>448</v>
      </c>
    </row>
    <row r="31" spans="1:26" ht="91" customHeight="1" x14ac:dyDescent="0.15">
      <c r="A31" s="49" t="s">
        <v>268</v>
      </c>
      <c r="B31" s="49" t="s">
        <v>164</v>
      </c>
      <c r="C31" s="50" t="s">
        <v>50</v>
      </c>
      <c r="D31" s="50" t="s">
        <v>114</v>
      </c>
      <c r="E31" s="115" t="s">
        <v>38</v>
      </c>
      <c r="F31" s="51" t="s">
        <v>51</v>
      </c>
      <c r="G31" s="51" t="s">
        <v>84</v>
      </c>
      <c r="H31" s="51" t="s">
        <v>246</v>
      </c>
      <c r="I31" s="53" t="s">
        <v>210</v>
      </c>
      <c r="J31" s="50" t="s">
        <v>211</v>
      </c>
      <c r="K31" s="50" t="s">
        <v>212</v>
      </c>
      <c r="L31" s="52" t="s">
        <v>107</v>
      </c>
      <c r="M31" s="52" t="s">
        <v>110</v>
      </c>
      <c r="N31" s="52" t="s">
        <v>269</v>
      </c>
      <c r="O31" s="91">
        <v>990927</v>
      </c>
      <c r="P31" s="91">
        <v>88000</v>
      </c>
      <c r="Q31" s="126">
        <f>19788/15000</f>
        <v>1.3191999999999999</v>
      </c>
      <c r="R31" s="126">
        <f>11033/13000</f>
        <v>0.84869230769230775</v>
      </c>
      <c r="S31" s="126">
        <f>6724/16000</f>
        <v>0.42025000000000001</v>
      </c>
      <c r="T31" s="126">
        <f>2675/150</f>
        <v>17.833333333333332</v>
      </c>
      <c r="U31" s="126">
        <f>2459/110</f>
        <v>22.354545454545455</v>
      </c>
      <c r="V31" s="126" t="s">
        <v>371</v>
      </c>
      <c r="W31" s="113">
        <f>44941/44260</f>
        <v>1.0153863533664709</v>
      </c>
      <c r="X31" s="113">
        <f>W31</f>
        <v>1.0153863533664709</v>
      </c>
      <c r="Y31" s="145" t="s">
        <v>446</v>
      </c>
    </row>
    <row r="32" spans="1:26" ht="52.5" customHeight="1" x14ac:dyDescent="0.15">
      <c r="A32" s="49" t="s">
        <v>268</v>
      </c>
      <c r="B32" s="49" t="s">
        <v>164</v>
      </c>
      <c r="C32" s="50" t="s">
        <v>308</v>
      </c>
      <c r="D32" s="50" t="s">
        <v>116</v>
      </c>
      <c r="E32" s="115" t="s">
        <v>44</v>
      </c>
      <c r="F32" s="51" t="s">
        <v>51</v>
      </c>
      <c r="G32" s="51" t="s">
        <v>334</v>
      </c>
      <c r="H32" s="51" t="s">
        <v>325</v>
      </c>
      <c r="I32" s="53" t="s">
        <v>333</v>
      </c>
      <c r="J32" s="50" t="s">
        <v>328</v>
      </c>
      <c r="K32" s="50" t="s">
        <v>329</v>
      </c>
      <c r="L32" s="52" t="s">
        <v>107</v>
      </c>
      <c r="M32" s="52" t="s">
        <v>111</v>
      </c>
      <c r="N32" s="52" t="s">
        <v>266</v>
      </c>
      <c r="O32" s="84">
        <v>1</v>
      </c>
      <c r="P32" s="84">
        <v>1</v>
      </c>
      <c r="Q32" s="96" t="s">
        <v>6</v>
      </c>
      <c r="R32" s="96" t="s">
        <v>6</v>
      </c>
      <c r="S32" s="97">
        <f>7/7</f>
        <v>1</v>
      </c>
      <c r="T32" s="96" t="s">
        <v>6</v>
      </c>
      <c r="U32" s="96" t="s">
        <v>6</v>
      </c>
      <c r="V32" s="154">
        <f>1/6</f>
        <v>0.16666666666666666</v>
      </c>
      <c r="W32" s="154">
        <f>AVERAGE(S32,V32)</f>
        <v>0.58333333333333337</v>
      </c>
      <c r="X32" s="154">
        <f>W32/P32</f>
        <v>0.58333333333333337</v>
      </c>
      <c r="Y32" s="145" t="s">
        <v>495</v>
      </c>
    </row>
    <row r="33" spans="1:25" ht="107.25" customHeight="1" x14ac:dyDescent="0.15">
      <c r="A33" s="49" t="s">
        <v>259</v>
      </c>
      <c r="B33" s="49" t="s">
        <v>289</v>
      </c>
      <c r="C33" s="50" t="s">
        <v>308</v>
      </c>
      <c r="D33" s="50" t="s">
        <v>116</v>
      </c>
      <c r="E33" s="115" t="s">
        <v>44</v>
      </c>
      <c r="F33" s="51" t="s">
        <v>56</v>
      </c>
      <c r="G33" s="51" t="s">
        <v>88</v>
      </c>
      <c r="H33" s="51" t="s">
        <v>234</v>
      </c>
      <c r="I33" s="53" t="s">
        <v>188</v>
      </c>
      <c r="J33" s="50" t="s">
        <v>189</v>
      </c>
      <c r="K33" s="50" t="s">
        <v>190</v>
      </c>
      <c r="L33" s="52" t="s">
        <v>107</v>
      </c>
      <c r="M33" s="52" t="s">
        <v>110</v>
      </c>
      <c r="N33" s="52" t="s">
        <v>266</v>
      </c>
      <c r="O33" s="85">
        <v>1</v>
      </c>
      <c r="P33" s="85">
        <v>1</v>
      </c>
      <c r="Q33" s="97" t="s">
        <v>371</v>
      </c>
      <c r="R33" s="97">
        <v>3</v>
      </c>
      <c r="S33" s="97">
        <f>3/3</f>
        <v>1</v>
      </c>
      <c r="T33" s="97">
        <f>2/2</f>
        <v>1</v>
      </c>
      <c r="U33" s="97">
        <f>3/3</f>
        <v>1</v>
      </c>
      <c r="V33" s="97">
        <f>2/2</f>
        <v>1</v>
      </c>
      <c r="W33" s="97">
        <f>AVERAGE(R33:V33)</f>
        <v>1.4</v>
      </c>
      <c r="X33" s="97">
        <f>W33/P33</f>
        <v>1.4</v>
      </c>
      <c r="Y33" s="145" t="s">
        <v>449</v>
      </c>
    </row>
    <row r="34" spans="1:25" ht="84" customHeight="1" x14ac:dyDescent="0.15">
      <c r="A34" s="49" t="s">
        <v>259</v>
      </c>
      <c r="B34" s="49" t="s">
        <v>289</v>
      </c>
      <c r="C34" s="50" t="s">
        <v>308</v>
      </c>
      <c r="D34" s="50" t="s">
        <v>116</v>
      </c>
      <c r="E34" s="115" t="s">
        <v>44</v>
      </c>
      <c r="F34" s="51" t="s">
        <v>56</v>
      </c>
      <c r="G34" s="51" t="s">
        <v>88</v>
      </c>
      <c r="H34" s="51" t="s">
        <v>235</v>
      </c>
      <c r="I34" s="53" t="s">
        <v>191</v>
      </c>
      <c r="J34" s="50" t="s">
        <v>192</v>
      </c>
      <c r="K34" s="50" t="s">
        <v>193</v>
      </c>
      <c r="L34" s="52" t="s">
        <v>107</v>
      </c>
      <c r="M34" s="52" t="s">
        <v>110</v>
      </c>
      <c r="N34" s="52" t="s">
        <v>266</v>
      </c>
      <c r="O34" s="85">
        <v>1</v>
      </c>
      <c r="P34" s="85">
        <v>1</v>
      </c>
      <c r="Q34" s="97" t="s">
        <v>371</v>
      </c>
      <c r="R34" s="97">
        <f>2/2</f>
        <v>1</v>
      </c>
      <c r="S34" s="97">
        <f>5/5</f>
        <v>1</v>
      </c>
      <c r="T34" s="97">
        <f>4/4</f>
        <v>1</v>
      </c>
      <c r="U34" s="97">
        <f>6/6</f>
        <v>1</v>
      </c>
      <c r="V34" s="97">
        <f>10/10</f>
        <v>1</v>
      </c>
      <c r="W34" s="97">
        <f>AVERAGE(R34:V34)</f>
        <v>1</v>
      </c>
      <c r="X34" s="97">
        <f>27/53</f>
        <v>0.50943396226415094</v>
      </c>
      <c r="Y34" s="134" t="s">
        <v>450</v>
      </c>
    </row>
    <row r="35" spans="1:25" ht="78" customHeight="1" x14ac:dyDescent="0.15">
      <c r="A35" s="49" t="s">
        <v>259</v>
      </c>
      <c r="B35" s="49" t="s">
        <v>289</v>
      </c>
      <c r="C35" s="50" t="s">
        <v>308</v>
      </c>
      <c r="D35" s="50" t="s">
        <v>116</v>
      </c>
      <c r="E35" s="115" t="s">
        <v>44</v>
      </c>
      <c r="F35" s="51" t="s">
        <v>56</v>
      </c>
      <c r="G35" s="51" t="s">
        <v>88</v>
      </c>
      <c r="H35" s="51" t="s">
        <v>236</v>
      </c>
      <c r="I35" s="53" t="s">
        <v>194</v>
      </c>
      <c r="J35" s="50" t="s">
        <v>195</v>
      </c>
      <c r="K35" s="50" t="s">
        <v>196</v>
      </c>
      <c r="L35" s="52" t="s">
        <v>107</v>
      </c>
      <c r="M35" s="52" t="s">
        <v>110</v>
      </c>
      <c r="N35" s="52" t="s">
        <v>266</v>
      </c>
      <c r="O35" s="85">
        <v>1</v>
      </c>
      <c r="P35" s="85">
        <v>1</v>
      </c>
      <c r="Q35" s="97">
        <f>5/5</f>
        <v>1</v>
      </c>
      <c r="R35" s="97">
        <f>3/4</f>
        <v>0.75</v>
      </c>
      <c r="S35" s="97">
        <f>7/8</f>
        <v>0.875</v>
      </c>
      <c r="T35" s="97">
        <f>6/5</f>
        <v>1.2</v>
      </c>
      <c r="U35" s="97">
        <f>4/4</f>
        <v>1</v>
      </c>
      <c r="V35" s="97">
        <f>6/6</f>
        <v>1</v>
      </c>
      <c r="W35" s="97">
        <f>AVERAGE(Q35:V35)</f>
        <v>0.97083333333333333</v>
      </c>
      <c r="X35" s="97">
        <f>W35/P35</f>
        <v>0.97083333333333333</v>
      </c>
      <c r="Y35" s="146" t="s">
        <v>451</v>
      </c>
    </row>
    <row r="36" spans="1:25" ht="47.25" customHeight="1" x14ac:dyDescent="0.15">
      <c r="A36" s="49" t="s">
        <v>259</v>
      </c>
      <c r="B36" s="49" t="s">
        <v>289</v>
      </c>
      <c r="C36" s="50" t="s">
        <v>308</v>
      </c>
      <c r="D36" s="50" t="s">
        <v>116</v>
      </c>
      <c r="E36" s="115" t="s">
        <v>44</v>
      </c>
      <c r="F36" s="51" t="s">
        <v>56</v>
      </c>
      <c r="G36" s="51" t="s">
        <v>90</v>
      </c>
      <c r="H36" s="51" t="s">
        <v>237</v>
      </c>
      <c r="I36" s="53" t="s">
        <v>197</v>
      </c>
      <c r="J36" s="50" t="s">
        <v>198</v>
      </c>
      <c r="K36" s="50" t="s">
        <v>199</v>
      </c>
      <c r="L36" s="52" t="s">
        <v>109</v>
      </c>
      <c r="M36" s="52" t="s">
        <v>111</v>
      </c>
      <c r="N36" s="52" t="s">
        <v>266</v>
      </c>
      <c r="O36" s="85">
        <v>0.9</v>
      </c>
      <c r="P36" s="85">
        <v>0.9</v>
      </c>
      <c r="Q36" s="97" t="s">
        <v>6</v>
      </c>
      <c r="R36" s="97" t="s">
        <v>6</v>
      </c>
      <c r="S36" s="97">
        <f>70/70</f>
        <v>1</v>
      </c>
      <c r="T36" s="97" t="s">
        <v>6</v>
      </c>
      <c r="U36" s="97" t="s">
        <v>6</v>
      </c>
      <c r="V36" s="97">
        <f>188/191</f>
        <v>0.98429319371727753</v>
      </c>
      <c r="W36" s="97">
        <f>AVERAGE(S36,V36)</f>
        <v>0.99214659685863871</v>
      </c>
      <c r="X36" s="97">
        <f>W36/P36</f>
        <v>1.1023851076207096</v>
      </c>
      <c r="Y36" s="134" t="s">
        <v>452</v>
      </c>
    </row>
    <row r="37" spans="1:25" ht="48.75" customHeight="1" x14ac:dyDescent="0.15">
      <c r="A37" s="49" t="s">
        <v>259</v>
      </c>
      <c r="B37" s="49" t="s">
        <v>289</v>
      </c>
      <c r="C37" s="50" t="s">
        <v>308</v>
      </c>
      <c r="D37" s="50" t="s">
        <v>116</v>
      </c>
      <c r="E37" s="115" t="s">
        <v>44</v>
      </c>
      <c r="F37" s="51" t="s">
        <v>56</v>
      </c>
      <c r="G37" s="51" t="s">
        <v>89</v>
      </c>
      <c r="H37" s="51" t="s">
        <v>238</v>
      </c>
      <c r="I37" s="53" t="s">
        <v>200</v>
      </c>
      <c r="J37" s="50" t="s">
        <v>201</v>
      </c>
      <c r="K37" s="50" t="s">
        <v>202</v>
      </c>
      <c r="L37" s="52" t="s">
        <v>107</v>
      </c>
      <c r="M37" s="52" t="s">
        <v>110</v>
      </c>
      <c r="N37" s="52" t="s">
        <v>266</v>
      </c>
      <c r="O37" s="85">
        <v>1</v>
      </c>
      <c r="P37" s="85">
        <v>1</v>
      </c>
      <c r="Q37" s="97">
        <f>24/24</f>
        <v>1</v>
      </c>
      <c r="R37" s="97">
        <f>23/23</f>
        <v>1</v>
      </c>
      <c r="S37" s="97">
        <f>20/20</f>
        <v>1</v>
      </c>
      <c r="T37" s="97">
        <f>32/32</f>
        <v>1</v>
      </c>
      <c r="U37" s="97">
        <f>14/14</f>
        <v>1</v>
      </c>
      <c r="V37" s="97">
        <f>12/12</f>
        <v>1</v>
      </c>
      <c r="W37" s="97">
        <f>AVERAGE(Q37:V37)</f>
        <v>1</v>
      </c>
      <c r="X37" s="97">
        <f>W37/P37</f>
        <v>1</v>
      </c>
      <c r="Y37" s="134" t="s">
        <v>453</v>
      </c>
    </row>
    <row r="38" spans="1:25" ht="51.75" customHeight="1" x14ac:dyDescent="0.15">
      <c r="A38" s="49" t="s">
        <v>259</v>
      </c>
      <c r="B38" s="49" t="s">
        <v>289</v>
      </c>
      <c r="C38" s="50" t="s">
        <v>308</v>
      </c>
      <c r="D38" s="50" t="s">
        <v>116</v>
      </c>
      <c r="E38" s="115" t="s">
        <v>44</v>
      </c>
      <c r="F38" s="51" t="s">
        <v>56</v>
      </c>
      <c r="G38" s="51" t="s">
        <v>89</v>
      </c>
      <c r="H38" s="51" t="s">
        <v>352</v>
      </c>
      <c r="I38" s="53" t="s">
        <v>353</v>
      </c>
      <c r="J38" s="50" t="s">
        <v>354</v>
      </c>
      <c r="K38" s="50" t="s">
        <v>355</v>
      </c>
      <c r="L38" s="52" t="s">
        <v>107</v>
      </c>
      <c r="M38" s="52" t="s">
        <v>111</v>
      </c>
      <c r="N38" s="52" t="s">
        <v>356</v>
      </c>
      <c r="O38" s="89">
        <v>5</v>
      </c>
      <c r="P38" s="89">
        <v>5</v>
      </c>
      <c r="Q38" s="94">
        <v>0</v>
      </c>
      <c r="R38" s="94">
        <v>0</v>
      </c>
      <c r="S38" s="94">
        <v>0</v>
      </c>
      <c r="T38" s="94">
        <v>0</v>
      </c>
      <c r="U38" s="94">
        <v>0</v>
      </c>
      <c r="V38" s="94">
        <v>0</v>
      </c>
      <c r="W38" s="94">
        <f>AVERAGE(Q38:V38)</f>
        <v>0</v>
      </c>
      <c r="X38" s="97">
        <v>0</v>
      </c>
      <c r="Y38" s="134" t="s">
        <v>454</v>
      </c>
    </row>
    <row r="39" spans="1:25" ht="90" customHeight="1" x14ac:dyDescent="0.15">
      <c r="A39" s="49" t="s">
        <v>259</v>
      </c>
      <c r="B39" s="49" t="s">
        <v>289</v>
      </c>
      <c r="C39" s="50" t="s">
        <v>308</v>
      </c>
      <c r="D39" s="50" t="s">
        <v>116</v>
      </c>
      <c r="E39" s="115" t="s">
        <v>44</v>
      </c>
      <c r="F39" s="51" t="s">
        <v>56</v>
      </c>
      <c r="G39" s="51" t="s">
        <v>89</v>
      </c>
      <c r="H39" s="51" t="s">
        <v>357</v>
      </c>
      <c r="I39" s="53" t="s">
        <v>358</v>
      </c>
      <c r="J39" s="50" t="s">
        <v>359</v>
      </c>
      <c r="K39" s="50" t="s">
        <v>360</v>
      </c>
      <c r="L39" s="52" t="s">
        <v>107</v>
      </c>
      <c r="M39" s="52" t="s">
        <v>111</v>
      </c>
      <c r="N39" s="52" t="s">
        <v>266</v>
      </c>
      <c r="O39" s="85">
        <v>1</v>
      </c>
      <c r="P39" s="85">
        <v>0.9</v>
      </c>
      <c r="Q39" s="97">
        <v>0</v>
      </c>
      <c r="R39" s="97">
        <v>0</v>
      </c>
      <c r="S39" s="97">
        <v>0</v>
      </c>
      <c r="T39" s="97">
        <v>0</v>
      </c>
      <c r="U39" s="97">
        <v>0</v>
      </c>
      <c r="V39" s="97">
        <v>0</v>
      </c>
      <c r="W39" s="97">
        <f>AVERAGE(Q39:V39)</f>
        <v>0</v>
      </c>
      <c r="X39" s="97">
        <f>W39/P39</f>
        <v>0</v>
      </c>
      <c r="Y39" s="145" t="s">
        <v>455</v>
      </c>
    </row>
    <row r="40" spans="1:25" ht="90" customHeight="1" x14ac:dyDescent="0.15">
      <c r="A40" s="49" t="s">
        <v>259</v>
      </c>
      <c r="B40" s="49" t="s">
        <v>289</v>
      </c>
      <c r="C40" s="50" t="s">
        <v>308</v>
      </c>
      <c r="D40" s="50" t="s">
        <v>116</v>
      </c>
      <c r="E40" s="115" t="s">
        <v>44</v>
      </c>
      <c r="F40" s="51" t="s">
        <v>56</v>
      </c>
      <c r="G40" s="51" t="s">
        <v>89</v>
      </c>
      <c r="H40" s="51" t="s">
        <v>351</v>
      </c>
      <c r="I40" s="53" t="s">
        <v>347</v>
      </c>
      <c r="J40" s="50" t="s">
        <v>348</v>
      </c>
      <c r="K40" s="50" t="s">
        <v>349</v>
      </c>
      <c r="L40" s="52" t="s">
        <v>107</v>
      </c>
      <c r="M40" s="52" t="s">
        <v>110</v>
      </c>
      <c r="N40" s="52" t="s">
        <v>266</v>
      </c>
      <c r="O40" s="89"/>
      <c r="P40" s="89" t="s">
        <v>350</v>
      </c>
      <c r="Q40" s="94">
        <f>47/46</f>
        <v>1.0217391304347827</v>
      </c>
      <c r="R40" s="94">
        <f>28/88</f>
        <v>0.31818181818181818</v>
      </c>
      <c r="S40" s="94">
        <f>5/146</f>
        <v>3.4246575342465752E-2</v>
      </c>
      <c r="T40" s="94">
        <f>0/152</f>
        <v>0</v>
      </c>
      <c r="U40" s="94">
        <f>2/198</f>
        <v>1.0101010101010102E-2</v>
      </c>
      <c r="V40" s="94">
        <f>0/189</f>
        <v>0</v>
      </c>
      <c r="W40" s="94">
        <f>AVERAGE(Q40:V40)</f>
        <v>0.2307114223433461</v>
      </c>
      <c r="X40" s="94">
        <v>2.02</v>
      </c>
      <c r="Y40" s="146" t="s">
        <v>456</v>
      </c>
    </row>
    <row r="41" spans="1:25" ht="95" customHeight="1" x14ac:dyDescent="0.15">
      <c r="A41" s="137" t="s">
        <v>259</v>
      </c>
      <c r="B41" s="137" t="s">
        <v>289</v>
      </c>
      <c r="C41" s="135" t="s">
        <v>308</v>
      </c>
      <c r="D41" s="135" t="s">
        <v>116</v>
      </c>
      <c r="E41" s="138" t="s">
        <v>44</v>
      </c>
      <c r="F41" s="128" t="s">
        <v>56</v>
      </c>
      <c r="G41" s="128" t="s">
        <v>334</v>
      </c>
      <c r="H41" s="128" t="s">
        <v>325</v>
      </c>
      <c r="I41" s="53" t="s">
        <v>424</v>
      </c>
      <c r="J41" s="135" t="s">
        <v>332</v>
      </c>
      <c r="K41" s="135" t="s">
        <v>420</v>
      </c>
      <c r="L41" s="136" t="s">
        <v>107</v>
      </c>
      <c r="M41" s="136" t="s">
        <v>111</v>
      </c>
      <c r="N41" s="136" t="s">
        <v>266</v>
      </c>
      <c r="O41" s="85">
        <v>1</v>
      </c>
      <c r="P41" s="85">
        <v>1</v>
      </c>
      <c r="Q41" s="97" t="s">
        <v>371</v>
      </c>
      <c r="R41" s="97" t="s">
        <v>371</v>
      </c>
      <c r="S41" s="97" t="s">
        <v>371</v>
      </c>
      <c r="T41" s="97">
        <f>5/5</f>
        <v>1</v>
      </c>
      <c r="U41" s="97" t="s">
        <v>6</v>
      </c>
      <c r="V41" s="147" t="s">
        <v>6</v>
      </c>
      <c r="W41" s="94">
        <f>AVERAGE(Q41:V41)</f>
        <v>1</v>
      </c>
      <c r="X41" s="94">
        <f t="shared" ref="X41:X49" si="2">W41/P41</f>
        <v>1</v>
      </c>
      <c r="Y41" s="134" t="s">
        <v>425</v>
      </c>
    </row>
    <row r="42" spans="1:25" ht="89" customHeight="1" x14ac:dyDescent="0.15">
      <c r="A42" s="49" t="s">
        <v>259</v>
      </c>
      <c r="B42" s="49" t="s">
        <v>289</v>
      </c>
      <c r="C42" s="50" t="s">
        <v>308</v>
      </c>
      <c r="D42" s="50" t="s">
        <v>116</v>
      </c>
      <c r="E42" s="115" t="s">
        <v>44</v>
      </c>
      <c r="F42" s="51" t="s">
        <v>56</v>
      </c>
      <c r="G42" s="128" t="s">
        <v>334</v>
      </c>
      <c r="H42" s="51" t="s">
        <v>325</v>
      </c>
      <c r="I42" s="53" t="s">
        <v>386</v>
      </c>
      <c r="J42" s="50" t="s">
        <v>330</v>
      </c>
      <c r="K42" s="50" t="s">
        <v>329</v>
      </c>
      <c r="L42" s="52" t="s">
        <v>107</v>
      </c>
      <c r="M42" s="52" t="s">
        <v>111</v>
      </c>
      <c r="N42" s="52" t="s">
        <v>266</v>
      </c>
      <c r="O42" s="85">
        <v>1</v>
      </c>
      <c r="P42" s="85">
        <v>1</v>
      </c>
      <c r="Q42" s="93" t="s">
        <v>381</v>
      </c>
      <c r="R42" s="93" t="s">
        <v>381</v>
      </c>
      <c r="S42" s="93">
        <f>2/12</f>
        <v>0.16666666666666666</v>
      </c>
      <c r="T42" s="93" t="s">
        <v>381</v>
      </c>
      <c r="U42" s="93" t="s">
        <v>6</v>
      </c>
      <c r="V42" s="94">
        <v>0</v>
      </c>
      <c r="W42" s="94">
        <f>AVERAGE(S42,V42)</f>
        <v>8.3333333333333329E-2</v>
      </c>
      <c r="X42" s="94">
        <f t="shared" si="2"/>
        <v>8.3333333333333329E-2</v>
      </c>
      <c r="Y42" s="145" t="s">
        <v>496</v>
      </c>
    </row>
    <row r="43" spans="1:25" ht="71.25" customHeight="1" x14ac:dyDescent="0.15">
      <c r="A43" s="49" t="s">
        <v>259</v>
      </c>
      <c r="B43" s="49" t="s">
        <v>289</v>
      </c>
      <c r="C43" s="50" t="s">
        <v>308</v>
      </c>
      <c r="D43" s="50" t="s">
        <v>116</v>
      </c>
      <c r="E43" s="115" t="s">
        <v>44</v>
      </c>
      <c r="F43" s="51" t="s">
        <v>56</v>
      </c>
      <c r="G43" s="51" t="s">
        <v>334</v>
      </c>
      <c r="H43" s="51" t="s">
        <v>325</v>
      </c>
      <c r="I43" s="53" t="s">
        <v>335</v>
      </c>
      <c r="J43" s="50" t="s">
        <v>328</v>
      </c>
      <c r="K43" s="50" t="s">
        <v>329</v>
      </c>
      <c r="L43" s="52" t="s">
        <v>107</v>
      </c>
      <c r="M43" s="52" t="s">
        <v>111</v>
      </c>
      <c r="N43" s="52" t="s">
        <v>266</v>
      </c>
      <c r="O43" s="85">
        <v>1</v>
      </c>
      <c r="P43" s="85">
        <v>1</v>
      </c>
      <c r="Q43" s="97" t="s">
        <v>6</v>
      </c>
      <c r="R43" s="97" t="s">
        <v>381</v>
      </c>
      <c r="S43" s="97">
        <f>1/4</f>
        <v>0.25</v>
      </c>
      <c r="T43" s="97" t="s">
        <v>381</v>
      </c>
      <c r="U43" s="97" t="s">
        <v>381</v>
      </c>
      <c r="V43" s="97">
        <f>3/4</f>
        <v>0.75</v>
      </c>
      <c r="W43" s="94">
        <f>AVERAGE(S43,V43)</f>
        <v>0.5</v>
      </c>
      <c r="X43" s="94">
        <f t="shared" si="2"/>
        <v>0.5</v>
      </c>
      <c r="Y43" s="101" t="s">
        <v>497</v>
      </c>
    </row>
    <row r="44" spans="1:25" ht="78" customHeight="1" x14ac:dyDescent="0.15">
      <c r="A44" s="49" t="s">
        <v>259</v>
      </c>
      <c r="B44" s="49" t="s">
        <v>289</v>
      </c>
      <c r="C44" s="50" t="s">
        <v>308</v>
      </c>
      <c r="D44" s="50" t="s">
        <v>116</v>
      </c>
      <c r="E44" s="115" t="s">
        <v>44</v>
      </c>
      <c r="F44" s="51" t="s">
        <v>61</v>
      </c>
      <c r="G44" s="51" t="s">
        <v>92</v>
      </c>
      <c r="H44" s="51" t="s">
        <v>247</v>
      </c>
      <c r="I44" s="53" t="s">
        <v>203</v>
      </c>
      <c r="J44" s="50" t="s">
        <v>204</v>
      </c>
      <c r="K44" s="50" t="s">
        <v>296</v>
      </c>
      <c r="L44" s="52" t="s">
        <v>107</v>
      </c>
      <c r="M44" s="52" t="s">
        <v>110</v>
      </c>
      <c r="N44" s="52" t="s">
        <v>266</v>
      </c>
      <c r="O44" s="85">
        <v>1</v>
      </c>
      <c r="P44" s="85">
        <v>1</v>
      </c>
      <c r="Q44" s="97">
        <f>44/44</f>
        <v>1</v>
      </c>
      <c r="R44" s="97">
        <f>31/31</f>
        <v>1</v>
      </c>
      <c r="S44" s="97">
        <f>21/21</f>
        <v>1</v>
      </c>
      <c r="T44" s="97">
        <f>2/2</f>
        <v>1</v>
      </c>
      <c r="U44" s="97" t="s">
        <v>371</v>
      </c>
      <c r="V44" s="97" t="s">
        <v>371</v>
      </c>
      <c r="W44" s="94">
        <f>AVERAGE(Q44:T44)</f>
        <v>1</v>
      </c>
      <c r="X44" s="94">
        <f t="shared" si="2"/>
        <v>1</v>
      </c>
      <c r="Y44" s="134" t="s">
        <v>457</v>
      </c>
    </row>
    <row r="45" spans="1:25" ht="78" customHeight="1" x14ac:dyDescent="0.15">
      <c r="A45" s="49" t="s">
        <v>259</v>
      </c>
      <c r="B45" s="49" t="s">
        <v>289</v>
      </c>
      <c r="C45" s="50" t="s">
        <v>308</v>
      </c>
      <c r="D45" s="50" t="s">
        <v>116</v>
      </c>
      <c r="E45" s="115" t="s">
        <v>44</v>
      </c>
      <c r="F45" s="51" t="s">
        <v>61</v>
      </c>
      <c r="G45" s="51" t="s">
        <v>91</v>
      </c>
      <c r="H45" s="51" t="s">
        <v>248</v>
      </c>
      <c r="I45" s="53" t="s">
        <v>297</v>
      </c>
      <c r="J45" s="50" t="s">
        <v>205</v>
      </c>
      <c r="K45" s="50" t="s">
        <v>206</v>
      </c>
      <c r="L45" s="52" t="s">
        <v>107</v>
      </c>
      <c r="M45" s="52" t="s">
        <v>110</v>
      </c>
      <c r="N45" s="52" t="s">
        <v>266</v>
      </c>
      <c r="O45" s="85">
        <v>1</v>
      </c>
      <c r="P45" s="85">
        <v>0.93</v>
      </c>
      <c r="Q45" s="97">
        <f>39/39</f>
        <v>1</v>
      </c>
      <c r="R45" s="97">
        <f>12/12</f>
        <v>1</v>
      </c>
      <c r="S45" s="97">
        <f>14/14</f>
        <v>1</v>
      </c>
      <c r="T45" s="97" t="s">
        <v>6</v>
      </c>
      <c r="U45" s="97" t="s">
        <v>6</v>
      </c>
      <c r="V45" s="97" t="s">
        <v>6</v>
      </c>
      <c r="W45" s="94">
        <f>AVERAGE(Q45:S45)</f>
        <v>1</v>
      </c>
      <c r="X45" s="94">
        <f t="shared" si="2"/>
        <v>1.075268817204301</v>
      </c>
      <c r="Y45" s="134" t="s">
        <v>458</v>
      </c>
    </row>
    <row r="46" spans="1:25" ht="90.5" customHeight="1" x14ac:dyDescent="0.15">
      <c r="A46" s="49" t="s">
        <v>259</v>
      </c>
      <c r="B46" s="49" t="s">
        <v>166</v>
      </c>
      <c r="C46" s="50" t="s">
        <v>308</v>
      </c>
      <c r="D46" s="50" t="s">
        <v>116</v>
      </c>
      <c r="E46" s="115" t="s">
        <v>44</v>
      </c>
      <c r="F46" s="51" t="s">
        <v>61</v>
      </c>
      <c r="G46" s="51" t="s">
        <v>334</v>
      </c>
      <c r="H46" s="51" t="s">
        <v>325</v>
      </c>
      <c r="I46" s="53" t="s">
        <v>416</v>
      </c>
      <c r="J46" s="50" t="s">
        <v>332</v>
      </c>
      <c r="K46" s="50" t="s">
        <v>340</v>
      </c>
      <c r="L46" s="52" t="s">
        <v>107</v>
      </c>
      <c r="M46" s="52" t="s">
        <v>111</v>
      </c>
      <c r="N46" s="52" t="s">
        <v>266</v>
      </c>
      <c r="O46" s="85">
        <v>1</v>
      </c>
      <c r="P46" s="85">
        <v>1</v>
      </c>
      <c r="Q46" s="97" t="s">
        <v>6</v>
      </c>
      <c r="R46" s="97" t="s">
        <v>381</v>
      </c>
      <c r="S46" s="97" t="s">
        <v>371</v>
      </c>
      <c r="T46" s="97" t="s">
        <v>381</v>
      </c>
      <c r="U46" s="97" t="s">
        <v>381</v>
      </c>
      <c r="V46" s="97">
        <f>5/5</f>
        <v>1</v>
      </c>
      <c r="W46" s="94">
        <f>AVERAGE(Q46:V46)</f>
        <v>1</v>
      </c>
      <c r="X46" s="94">
        <f t="shared" si="2"/>
        <v>1</v>
      </c>
      <c r="Y46" s="134" t="s">
        <v>418</v>
      </c>
    </row>
    <row r="47" spans="1:25" ht="78" customHeight="1" x14ac:dyDescent="0.15">
      <c r="A47" s="49" t="s">
        <v>259</v>
      </c>
      <c r="B47" s="49" t="s">
        <v>289</v>
      </c>
      <c r="C47" s="50" t="s">
        <v>308</v>
      </c>
      <c r="D47" s="50" t="s">
        <v>116</v>
      </c>
      <c r="E47" s="115" t="s">
        <v>44</v>
      </c>
      <c r="F47" s="51" t="s">
        <v>61</v>
      </c>
      <c r="G47" s="51" t="s">
        <v>334</v>
      </c>
      <c r="H47" s="51" t="s">
        <v>325</v>
      </c>
      <c r="I47" s="53" t="s">
        <v>336</v>
      </c>
      <c r="J47" s="50" t="s">
        <v>330</v>
      </c>
      <c r="K47" s="50" t="s">
        <v>329</v>
      </c>
      <c r="L47" s="52" t="s">
        <v>107</v>
      </c>
      <c r="M47" s="52" t="s">
        <v>111</v>
      </c>
      <c r="N47" s="52" t="s">
        <v>266</v>
      </c>
      <c r="O47" s="85">
        <v>1</v>
      </c>
      <c r="P47" s="85">
        <v>1</v>
      </c>
      <c r="Q47" s="97" t="s">
        <v>6</v>
      </c>
      <c r="R47" s="97" t="s">
        <v>6</v>
      </c>
      <c r="S47" s="94">
        <v>0</v>
      </c>
      <c r="T47" s="94" t="s">
        <v>6</v>
      </c>
      <c r="U47" s="94" t="s">
        <v>6</v>
      </c>
      <c r="V47" s="93">
        <f>6/9</f>
        <v>0.66666666666666663</v>
      </c>
      <c r="W47" s="93">
        <f>AVERAGE(S47,V47)</f>
        <v>0.33333333333333331</v>
      </c>
      <c r="X47" s="92">
        <f t="shared" si="2"/>
        <v>0.33333333333333331</v>
      </c>
      <c r="Y47" s="101" t="s">
        <v>498</v>
      </c>
    </row>
    <row r="48" spans="1:25" ht="63.75" customHeight="1" x14ac:dyDescent="0.15">
      <c r="A48" s="49" t="s">
        <v>259</v>
      </c>
      <c r="B48" s="49" t="s">
        <v>289</v>
      </c>
      <c r="C48" s="50" t="s">
        <v>308</v>
      </c>
      <c r="D48" s="50" t="s">
        <v>116</v>
      </c>
      <c r="E48" s="115" t="s">
        <v>44</v>
      </c>
      <c r="F48" s="51" t="s">
        <v>65</v>
      </c>
      <c r="G48" s="51" t="s">
        <v>95</v>
      </c>
      <c r="H48" s="51" t="s">
        <v>239</v>
      </c>
      <c r="I48" s="53" t="s">
        <v>283</v>
      </c>
      <c r="J48" s="50" t="s">
        <v>177</v>
      </c>
      <c r="K48" s="53" t="s">
        <v>304</v>
      </c>
      <c r="L48" s="52" t="s">
        <v>107</v>
      </c>
      <c r="M48" s="52" t="s">
        <v>110</v>
      </c>
      <c r="N48" s="52" t="s">
        <v>266</v>
      </c>
      <c r="O48" s="85">
        <v>0.98</v>
      </c>
      <c r="P48" s="85">
        <v>0.98</v>
      </c>
      <c r="Q48" s="93">
        <f>IF(17722621=0,0,(17722621/2349507273))</f>
        <v>7.5431224255673966E-3</v>
      </c>
      <c r="R48" s="93">
        <f>IF(2349507273=0,0,(1427678035/2349507273))</f>
        <v>0.6076499747017382</v>
      </c>
      <c r="S48" s="93">
        <f>IF(2349507273=0,0,(318862695/2349507273))</f>
        <v>0.13571470863882701</v>
      </c>
      <c r="T48" s="93">
        <f>IF(2349507273=0,0,(126237054/2349507273))</f>
        <v>5.3729160769446151E-2</v>
      </c>
      <c r="U48" s="93">
        <f>IF(2349507273=0,0,(23867310/2349507273))</f>
        <v>1.015843205691579E-2</v>
      </c>
      <c r="V48" s="93">
        <f>IF(2349507273=0,0,(23249771/2349507273))</f>
        <v>9.8955943942719594E-3</v>
      </c>
      <c r="W48" s="144">
        <f>AVERAGE(Q48:V48)</f>
        <v>0.13744849883112778</v>
      </c>
      <c r="X48" s="97">
        <f t="shared" si="2"/>
        <v>0.14025357023584467</v>
      </c>
      <c r="Y48" s="106" t="s">
        <v>459</v>
      </c>
    </row>
    <row r="49" spans="1:25" ht="59.25" customHeight="1" x14ac:dyDescent="0.15">
      <c r="A49" s="49" t="s">
        <v>259</v>
      </c>
      <c r="B49" s="49" t="s">
        <v>289</v>
      </c>
      <c r="C49" s="50" t="s">
        <v>308</v>
      </c>
      <c r="D49" s="50" t="s">
        <v>116</v>
      </c>
      <c r="E49" s="115" t="s">
        <v>44</v>
      </c>
      <c r="F49" s="51" t="s">
        <v>65</v>
      </c>
      <c r="G49" s="51" t="s">
        <v>95</v>
      </c>
      <c r="H49" s="51" t="s">
        <v>240</v>
      </c>
      <c r="I49" s="53" t="s">
        <v>284</v>
      </c>
      <c r="J49" s="50" t="s">
        <v>179</v>
      </c>
      <c r="K49" s="53" t="s">
        <v>180</v>
      </c>
      <c r="L49" s="52" t="s">
        <v>107</v>
      </c>
      <c r="M49" s="52" t="s">
        <v>110</v>
      </c>
      <c r="N49" s="52" t="s">
        <v>266</v>
      </c>
      <c r="O49" s="85">
        <v>0.93</v>
      </c>
      <c r="P49" s="85">
        <v>0.93</v>
      </c>
      <c r="Q49" s="92">
        <f>IF(455459333=0,0,(426697681/455459333))</f>
        <v>0.93685132806357485</v>
      </c>
      <c r="R49" s="92">
        <f>IF(478059333=0,0,(857106764/478059333))</f>
        <v>1.7928878380458269</v>
      </c>
      <c r="S49" s="92">
        <f>IF(730458165=0,0,(475408438/730458165))</f>
        <v>0.65083595581411569</v>
      </c>
      <c r="T49" s="92">
        <f>IF(515459333=0,0,(488822690/515459333))</f>
        <v>0.94832445297871826</v>
      </c>
      <c r="U49" s="92">
        <f>IF(640887712=0,0,(461459891/640887712))</f>
        <v>0.72003235880422056</v>
      </c>
      <c r="V49" s="92">
        <f>IF(596335154=0,0,(873814724/596335154))</f>
        <v>1.4653080874718984</v>
      </c>
      <c r="W49" s="93">
        <f>AVERAGE(Q49:V49)</f>
        <v>1.0857066701963924</v>
      </c>
      <c r="X49" s="94">
        <f t="shared" si="2"/>
        <v>1.167426527092895</v>
      </c>
      <c r="Y49" s="105" t="s">
        <v>460</v>
      </c>
    </row>
    <row r="50" spans="1:25" ht="57.75" customHeight="1" x14ac:dyDescent="0.15">
      <c r="A50" s="49" t="s">
        <v>259</v>
      </c>
      <c r="B50" s="49" t="s">
        <v>289</v>
      </c>
      <c r="C50" s="50" t="s">
        <v>308</v>
      </c>
      <c r="D50" s="50" t="s">
        <v>116</v>
      </c>
      <c r="E50" s="115" t="s">
        <v>44</v>
      </c>
      <c r="F50" s="51" t="s">
        <v>65</v>
      </c>
      <c r="G50" s="51" t="s">
        <v>95</v>
      </c>
      <c r="H50" s="51" t="s">
        <v>241</v>
      </c>
      <c r="I50" s="53" t="s">
        <v>178</v>
      </c>
      <c r="J50" s="50" t="s">
        <v>181</v>
      </c>
      <c r="K50" s="53" t="s">
        <v>182</v>
      </c>
      <c r="L50" s="52" t="s">
        <v>107</v>
      </c>
      <c r="M50" s="52" t="s">
        <v>110</v>
      </c>
      <c r="N50" s="52" t="s">
        <v>266</v>
      </c>
      <c r="O50" s="89"/>
      <c r="P50" s="89" t="s">
        <v>274</v>
      </c>
      <c r="Q50" s="92">
        <f>+(425108822*0.113)/11689864</f>
        <v>4.1093118693254258</v>
      </c>
      <c r="R50" s="92">
        <f>+(1995716387*0.113)/78685141</f>
        <v>2.8660551263547966</v>
      </c>
      <c r="S50" s="92">
        <f>+(1137506564*0.113)/70149245</f>
        <v>1.8323538868023457</v>
      </c>
      <c r="T50" s="92">
        <f>+(1154039161*0.113)/57763772</f>
        <v>2.2575815373171961</v>
      </c>
      <c r="U50" s="92">
        <f>+(1075226429*0.113)/106531706</f>
        <v>1.1405110369395568</v>
      </c>
      <c r="V50" s="92">
        <f>100%-0</f>
        <v>1</v>
      </c>
      <c r="W50" s="94">
        <f>AVERAGE(Q50:V50)</f>
        <v>2.2009689094565537</v>
      </c>
      <c r="X50" s="97">
        <f>W50</f>
        <v>2.2009689094565537</v>
      </c>
      <c r="Y50" s="107" t="s">
        <v>461</v>
      </c>
    </row>
    <row r="51" spans="1:25" ht="106.5" customHeight="1" x14ac:dyDescent="0.15">
      <c r="A51" s="49" t="s">
        <v>259</v>
      </c>
      <c r="B51" s="49" t="s">
        <v>289</v>
      </c>
      <c r="C51" s="50" t="s">
        <v>308</v>
      </c>
      <c r="D51" s="50" t="s">
        <v>116</v>
      </c>
      <c r="E51" s="115" t="s">
        <v>44</v>
      </c>
      <c r="F51" s="51" t="s">
        <v>69</v>
      </c>
      <c r="G51" s="51" t="s">
        <v>98</v>
      </c>
      <c r="H51" s="51" t="s">
        <v>277</v>
      </c>
      <c r="I51" s="53" t="s">
        <v>286</v>
      </c>
      <c r="J51" s="50" t="s">
        <v>298</v>
      </c>
      <c r="K51" s="50" t="s">
        <v>299</v>
      </c>
      <c r="L51" s="52" t="s">
        <v>107</v>
      </c>
      <c r="M51" s="52" t="s">
        <v>110</v>
      </c>
      <c r="N51" s="52" t="s">
        <v>266</v>
      </c>
      <c r="O51" s="85">
        <v>1</v>
      </c>
      <c r="P51" s="85">
        <v>1</v>
      </c>
      <c r="Q51" s="97">
        <f>2/3</f>
        <v>0.66666666666666663</v>
      </c>
      <c r="R51" s="97">
        <f>1/1</f>
        <v>1</v>
      </c>
      <c r="S51" s="97" t="s">
        <v>371</v>
      </c>
      <c r="T51" s="97" t="s">
        <v>371</v>
      </c>
      <c r="U51" s="97" t="s">
        <v>371</v>
      </c>
      <c r="V51" s="97" t="s">
        <v>371</v>
      </c>
      <c r="W51" s="97">
        <f>AVERAGE(Q51:R51)</f>
        <v>0.83333333333333326</v>
      </c>
      <c r="X51" s="97">
        <f>W51/P51</f>
        <v>0.83333333333333326</v>
      </c>
      <c r="Y51" s="108" t="s">
        <v>462</v>
      </c>
    </row>
    <row r="52" spans="1:25" ht="160.5" customHeight="1" x14ac:dyDescent="0.15">
      <c r="A52" s="49" t="s">
        <v>259</v>
      </c>
      <c r="B52" s="49" t="s">
        <v>289</v>
      </c>
      <c r="C52" s="50" t="s">
        <v>308</v>
      </c>
      <c r="D52" s="50" t="s">
        <v>116</v>
      </c>
      <c r="E52" s="115" t="s">
        <v>44</v>
      </c>
      <c r="F52" s="51" t="s">
        <v>69</v>
      </c>
      <c r="G52" s="51" t="s">
        <v>98</v>
      </c>
      <c r="H52" s="51" t="s">
        <v>278</v>
      </c>
      <c r="I52" s="53" t="s">
        <v>275</v>
      </c>
      <c r="J52" s="53" t="s">
        <v>285</v>
      </c>
      <c r="K52" s="50" t="s">
        <v>276</v>
      </c>
      <c r="L52" s="52" t="s">
        <v>107</v>
      </c>
      <c r="M52" s="52" t="s">
        <v>111</v>
      </c>
      <c r="N52" s="52" t="s">
        <v>266</v>
      </c>
      <c r="O52" s="85">
        <v>1</v>
      </c>
      <c r="P52" s="85">
        <v>1</v>
      </c>
      <c r="Q52" s="97">
        <f>3/3</f>
        <v>1</v>
      </c>
      <c r="R52" s="97">
        <f>44/44</f>
        <v>1</v>
      </c>
      <c r="S52" s="97">
        <f>62/63</f>
        <v>0.98412698412698407</v>
      </c>
      <c r="T52" s="97">
        <f>9/9</f>
        <v>1</v>
      </c>
      <c r="U52" s="97">
        <f>37/38</f>
        <v>0.97368421052631582</v>
      </c>
      <c r="V52" s="97">
        <f>3/2</f>
        <v>1.5</v>
      </c>
      <c r="W52" s="97">
        <f>AVERAGE(Q52:V52)</f>
        <v>1.0763018657755501</v>
      </c>
      <c r="X52" s="97">
        <f>W52/Q52</f>
        <v>1.0763018657755501</v>
      </c>
      <c r="Y52" s="108" t="s">
        <v>463</v>
      </c>
    </row>
    <row r="53" spans="1:25" ht="217" customHeight="1" x14ac:dyDescent="0.15">
      <c r="A53" s="49" t="s">
        <v>259</v>
      </c>
      <c r="B53" s="49" t="s">
        <v>289</v>
      </c>
      <c r="C53" s="50" t="s">
        <v>308</v>
      </c>
      <c r="D53" s="50" t="s">
        <v>116</v>
      </c>
      <c r="E53" s="115" t="s">
        <v>44</v>
      </c>
      <c r="F53" s="51" t="s">
        <v>69</v>
      </c>
      <c r="G53" s="51" t="s">
        <v>98</v>
      </c>
      <c r="H53" s="51" t="s">
        <v>324</v>
      </c>
      <c r="I53" s="53" t="s">
        <v>307</v>
      </c>
      <c r="J53" s="53" t="s">
        <v>306</v>
      </c>
      <c r="K53" s="50" t="s">
        <v>305</v>
      </c>
      <c r="L53" s="52" t="s">
        <v>107</v>
      </c>
      <c r="M53" s="52" t="s">
        <v>112</v>
      </c>
      <c r="N53" s="52" t="s">
        <v>266</v>
      </c>
      <c r="O53" s="85">
        <v>1</v>
      </c>
      <c r="P53" s="85">
        <v>1</v>
      </c>
      <c r="Q53" s="94" t="s">
        <v>371</v>
      </c>
      <c r="R53" s="94">
        <f>1/1</f>
        <v>1</v>
      </c>
      <c r="S53" s="97">
        <f>2/2</f>
        <v>1</v>
      </c>
      <c r="T53" s="97" t="s">
        <v>371</v>
      </c>
      <c r="U53" s="97">
        <f>5/5</f>
        <v>1</v>
      </c>
      <c r="V53" s="97">
        <f>1/1</f>
        <v>1</v>
      </c>
      <c r="W53" s="97">
        <f>AVERAGE(Q53:V53)</f>
        <v>1</v>
      </c>
      <c r="X53" s="97">
        <f>W53/P53</f>
        <v>1</v>
      </c>
      <c r="Y53" s="107" t="s">
        <v>464</v>
      </c>
    </row>
    <row r="54" spans="1:25" ht="109" customHeight="1" x14ac:dyDescent="0.15">
      <c r="A54" s="49" t="s">
        <v>259</v>
      </c>
      <c r="B54" s="49" t="s">
        <v>289</v>
      </c>
      <c r="C54" s="50" t="s">
        <v>308</v>
      </c>
      <c r="D54" s="50" t="s">
        <v>116</v>
      </c>
      <c r="E54" s="115" t="s">
        <v>44</v>
      </c>
      <c r="F54" s="51" t="s">
        <v>69</v>
      </c>
      <c r="G54" s="51" t="s">
        <v>334</v>
      </c>
      <c r="H54" s="51" t="s">
        <v>325</v>
      </c>
      <c r="I54" s="53" t="s">
        <v>422</v>
      </c>
      <c r="J54" s="53" t="s">
        <v>332</v>
      </c>
      <c r="K54" s="50" t="s">
        <v>326</v>
      </c>
      <c r="L54" s="52" t="s">
        <v>107</v>
      </c>
      <c r="M54" s="52" t="s">
        <v>111</v>
      </c>
      <c r="N54" s="52" t="s">
        <v>266</v>
      </c>
      <c r="O54" s="85">
        <v>1</v>
      </c>
      <c r="P54" s="85">
        <v>1</v>
      </c>
      <c r="Q54" s="97" t="s">
        <v>6</v>
      </c>
      <c r="R54" s="97" t="s">
        <v>6</v>
      </c>
      <c r="S54" s="94">
        <f>5/5</f>
        <v>1</v>
      </c>
      <c r="T54" s="94" t="s">
        <v>6</v>
      </c>
      <c r="U54" s="94">
        <v>1</v>
      </c>
      <c r="V54" s="94">
        <v>1</v>
      </c>
      <c r="W54" s="94">
        <f>AVERAGE(S54,U54,V54)</f>
        <v>1</v>
      </c>
      <c r="X54" s="94">
        <f>W54/P54</f>
        <v>1</v>
      </c>
      <c r="Y54" s="107" t="s">
        <v>503</v>
      </c>
    </row>
    <row r="55" spans="1:25" ht="78.75" customHeight="1" x14ac:dyDescent="0.15">
      <c r="A55" s="49" t="s">
        <v>259</v>
      </c>
      <c r="B55" s="49" t="s">
        <v>289</v>
      </c>
      <c r="C55" s="50" t="s">
        <v>308</v>
      </c>
      <c r="D55" s="50" t="s">
        <v>116</v>
      </c>
      <c r="E55" s="115" t="s">
        <v>44</v>
      </c>
      <c r="F55" s="51" t="s">
        <v>69</v>
      </c>
      <c r="G55" s="51" t="s">
        <v>334</v>
      </c>
      <c r="H55" s="51" t="s">
        <v>325</v>
      </c>
      <c r="I55" s="53" t="s">
        <v>341</v>
      </c>
      <c r="J55" s="53" t="s">
        <v>328</v>
      </c>
      <c r="K55" s="50" t="s">
        <v>329</v>
      </c>
      <c r="L55" s="52" t="s">
        <v>107</v>
      </c>
      <c r="M55" s="52" t="s">
        <v>111</v>
      </c>
      <c r="N55" s="52" t="s">
        <v>266</v>
      </c>
      <c r="O55" s="85">
        <v>1</v>
      </c>
      <c r="P55" s="84">
        <v>1</v>
      </c>
      <c r="Q55" s="97" t="s">
        <v>6</v>
      </c>
      <c r="R55" s="97" t="s">
        <v>6</v>
      </c>
      <c r="S55" s="93">
        <f>1/15</f>
        <v>6.6666666666666666E-2</v>
      </c>
      <c r="T55" s="97" t="s">
        <v>6</v>
      </c>
      <c r="U55" s="97" t="s">
        <v>6</v>
      </c>
      <c r="V55" s="93">
        <f>5/15</f>
        <v>0.33333333333333331</v>
      </c>
      <c r="W55" s="93">
        <f>AVERAGE(S55,V55)</f>
        <v>0.19999999999999998</v>
      </c>
      <c r="X55" s="93">
        <f t="shared" ref="X55:X59" si="3">W55/P55</f>
        <v>0.19999999999999998</v>
      </c>
      <c r="Y55" s="107" t="s">
        <v>499</v>
      </c>
    </row>
    <row r="56" spans="1:25" ht="96.5" customHeight="1" x14ac:dyDescent="0.15">
      <c r="A56" s="49" t="s">
        <v>259</v>
      </c>
      <c r="B56" s="49" t="s">
        <v>289</v>
      </c>
      <c r="C56" s="50" t="s">
        <v>308</v>
      </c>
      <c r="D56" s="50" t="s">
        <v>116</v>
      </c>
      <c r="E56" s="115" t="s">
        <v>44</v>
      </c>
      <c r="F56" s="51" t="s">
        <v>73</v>
      </c>
      <c r="G56" s="51" t="s">
        <v>100</v>
      </c>
      <c r="H56" s="51" t="s">
        <v>233</v>
      </c>
      <c r="I56" s="53" t="s">
        <v>183</v>
      </c>
      <c r="J56" s="50" t="s">
        <v>300</v>
      </c>
      <c r="K56" s="50" t="s">
        <v>184</v>
      </c>
      <c r="L56" s="52" t="s">
        <v>107</v>
      </c>
      <c r="M56" s="52" t="s">
        <v>111</v>
      </c>
      <c r="N56" s="52" t="s">
        <v>266</v>
      </c>
      <c r="O56" s="85">
        <v>0.94</v>
      </c>
      <c r="P56" s="85">
        <v>0.94</v>
      </c>
      <c r="Q56" s="97" t="s">
        <v>371</v>
      </c>
      <c r="R56" s="97">
        <v>1</v>
      </c>
      <c r="S56" s="97" t="s">
        <v>371</v>
      </c>
      <c r="T56" s="97" t="s">
        <v>371</v>
      </c>
      <c r="U56" s="97" t="s">
        <v>371</v>
      </c>
      <c r="V56" s="97" t="s">
        <v>371</v>
      </c>
      <c r="W56" s="97">
        <f>AVERAGE(Q56:V56)</f>
        <v>1</v>
      </c>
      <c r="X56" s="97">
        <f>W56/P56</f>
        <v>1.0638297872340425</v>
      </c>
      <c r="Y56" s="105" t="s">
        <v>465</v>
      </c>
    </row>
    <row r="57" spans="1:25" ht="69" customHeight="1" x14ac:dyDescent="0.15">
      <c r="A57" s="49" t="s">
        <v>259</v>
      </c>
      <c r="B57" s="49" t="s">
        <v>289</v>
      </c>
      <c r="C57" s="50" t="s">
        <v>308</v>
      </c>
      <c r="D57" s="50" t="s">
        <v>116</v>
      </c>
      <c r="E57" s="115" t="s">
        <v>44</v>
      </c>
      <c r="F57" s="51" t="s">
        <v>73</v>
      </c>
      <c r="G57" s="51" t="s">
        <v>334</v>
      </c>
      <c r="H57" s="51" t="s">
        <v>325</v>
      </c>
      <c r="I57" s="53" t="s">
        <v>385</v>
      </c>
      <c r="J57" s="50" t="s">
        <v>328</v>
      </c>
      <c r="K57" s="50" t="s">
        <v>329</v>
      </c>
      <c r="L57" s="52" t="s">
        <v>107</v>
      </c>
      <c r="M57" s="52" t="s">
        <v>111</v>
      </c>
      <c r="N57" s="52" t="s">
        <v>266</v>
      </c>
      <c r="O57" s="85">
        <v>1</v>
      </c>
      <c r="P57" s="85">
        <v>1</v>
      </c>
      <c r="Q57" s="97" t="s">
        <v>6</v>
      </c>
      <c r="R57" s="97" t="s">
        <v>6</v>
      </c>
      <c r="S57" s="93">
        <v>0.83330000000000004</v>
      </c>
      <c r="T57" s="97" t="s">
        <v>6</v>
      </c>
      <c r="U57" s="97" t="s">
        <v>6</v>
      </c>
      <c r="V57" s="93">
        <v>0</v>
      </c>
      <c r="W57" s="93">
        <f>AVERAGE(S57,V57)</f>
        <v>0.41665000000000002</v>
      </c>
      <c r="X57" s="93">
        <f t="shared" si="3"/>
        <v>0.41665000000000002</v>
      </c>
      <c r="Y57" s="107" t="s">
        <v>500</v>
      </c>
    </row>
    <row r="58" spans="1:25" ht="64.5" customHeight="1" x14ac:dyDescent="0.15">
      <c r="A58" s="49" t="s">
        <v>259</v>
      </c>
      <c r="B58" s="49" t="s">
        <v>289</v>
      </c>
      <c r="C58" s="50" t="s">
        <v>308</v>
      </c>
      <c r="D58" s="50" t="s">
        <v>116</v>
      </c>
      <c r="E58" s="115" t="s">
        <v>44</v>
      </c>
      <c r="F58" s="51" t="s">
        <v>76</v>
      </c>
      <c r="G58" s="51" t="s">
        <v>101</v>
      </c>
      <c r="H58" s="51" t="s">
        <v>249</v>
      </c>
      <c r="I58" s="53" t="s">
        <v>287</v>
      </c>
      <c r="J58" s="50" t="s">
        <v>288</v>
      </c>
      <c r="K58" s="77" t="s">
        <v>301</v>
      </c>
      <c r="L58" s="52" t="s">
        <v>109</v>
      </c>
      <c r="M58" s="52" t="s">
        <v>110</v>
      </c>
      <c r="N58" s="52" t="s">
        <v>266</v>
      </c>
      <c r="O58" s="85">
        <v>1</v>
      </c>
      <c r="P58" s="85">
        <v>1</v>
      </c>
      <c r="Q58" s="97">
        <f>100/100</f>
        <v>1</v>
      </c>
      <c r="R58" s="97">
        <f>143/143</f>
        <v>1</v>
      </c>
      <c r="S58" s="97">
        <f>134/134</f>
        <v>1</v>
      </c>
      <c r="T58" s="97">
        <f>102/102</f>
        <v>1</v>
      </c>
      <c r="U58" s="97">
        <f>94/94</f>
        <v>1</v>
      </c>
      <c r="V58" s="97">
        <f>90/90</f>
        <v>1</v>
      </c>
      <c r="W58" s="97">
        <f>AVERAGE(Q58:V58)</f>
        <v>1</v>
      </c>
      <c r="X58" s="97">
        <f t="shared" si="3"/>
        <v>1</v>
      </c>
      <c r="Y58" s="104" t="s">
        <v>414</v>
      </c>
    </row>
    <row r="59" spans="1:25" ht="71.25" customHeight="1" x14ac:dyDescent="0.15">
      <c r="A59" s="49" t="s">
        <v>259</v>
      </c>
      <c r="B59" s="49" t="s">
        <v>289</v>
      </c>
      <c r="C59" s="50" t="s">
        <v>308</v>
      </c>
      <c r="D59" s="50" t="s">
        <v>116</v>
      </c>
      <c r="E59" s="115" t="s">
        <v>44</v>
      </c>
      <c r="F59" s="51" t="s">
        <v>76</v>
      </c>
      <c r="G59" s="51" t="s">
        <v>101</v>
      </c>
      <c r="H59" s="51" t="s">
        <v>325</v>
      </c>
      <c r="I59" s="53" t="s">
        <v>337</v>
      </c>
      <c r="J59" s="50" t="s">
        <v>330</v>
      </c>
      <c r="K59" s="77" t="s">
        <v>329</v>
      </c>
      <c r="L59" s="52" t="s">
        <v>107</v>
      </c>
      <c r="M59" s="52" t="s">
        <v>111</v>
      </c>
      <c r="N59" s="52" t="s">
        <v>266</v>
      </c>
      <c r="O59" s="85">
        <v>1</v>
      </c>
      <c r="P59" s="85">
        <v>1</v>
      </c>
      <c r="Q59" s="97" t="s">
        <v>6</v>
      </c>
      <c r="R59" s="97" t="s">
        <v>6</v>
      </c>
      <c r="S59" s="94">
        <v>1</v>
      </c>
      <c r="T59" s="94"/>
      <c r="U59" s="94"/>
      <c r="V59" s="94"/>
      <c r="W59" s="94">
        <f>AVERAGE(Q59:S59)</f>
        <v>1</v>
      </c>
      <c r="X59" s="94">
        <f t="shared" si="3"/>
        <v>1</v>
      </c>
      <c r="Y59" s="107" t="s">
        <v>383</v>
      </c>
    </row>
    <row r="60" spans="1:25" ht="82.5" customHeight="1" x14ac:dyDescent="0.15">
      <c r="A60" s="49" t="s">
        <v>259</v>
      </c>
      <c r="B60" s="49" t="s">
        <v>289</v>
      </c>
      <c r="C60" s="50" t="s">
        <v>308</v>
      </c>
      <c r="D60" s="50" t="s">
        <v>116</v>
      </c>
      <c r="E60" s="115" t="s">
        <v>44</v>
      </c>
      <c r="F60" s="51" t="s">
        <v>77</v>
      </c>
      <c r="G60" s="51" t="s">
        <v>102</v>
      </c>
      <c r="H60" s="51" t="s">
        <v>250</v>
      </c>
      <c r="I60" s="53" t="s">
        <v>185</v>
      </c>
      <c r="J60" s="50" t="s">
        <v>302</v>
      </c>
      <c r="K60" s="50" t="s">
        <v>303</v>
      </c>
      <c r="L60" s="52" t="s">
        <v>107</v>
      </c>
      <c r="M60" s="52" t="s">
        <v>110</v>
      </c>
      <c r="N60" s="52" t="s">
        <v>266</v>
      </c>
      <c r="O60" s="85">
        <v>1</v>
      </c>
      <c r="P60" s="85">
        <v>1</v>
      </c>
      <c r="Q60" s="94">
        <f>98/98</f>
        <v>1</v>
      </c>
      <c r="R60" s="94">
        <f>67/68</f>
        <v>0.98529411764705888</v>
      </c>
      <c r="S60" s="94">
        <f>75/75</f>
        <v>1</v>
      </c>
      <c r="T60" s="94">
        <f>57/57</f>
        <v>1</v>
      </c>
      <c r="U60" s="94">
        <f>58/58</f>
        <v>1</v>
      </c>
      <c r="V60" s="92">
        <f>62/63</f>
        <v>0.98412698412698407</v>
      </c>
      <c r="W60" s="94">
        <f>AVERAGE(Q60:V60)</f>
        <v>0.99490351696234047</v>
      </c>
      <c r="X60" s="94">
        <f>W60/P60</f>
        <v>0.99490351696234047</v>
      </c>
      <c r="Y60" s="149" t="s">
        <v>467</v>
      </c>
    </row>
    <row r="61" spans="1:25" ht="81.75" customHeight="1" x14ac:dyDescent="0.15">
      <c r="A61" s="49" t="s">
        <v>259</v>
      </c>
      <c r="B61" s="49" t="s">
        <v>289</v>
      </c>
      <c r="C61" s="50" t="s">
        <v>308</v>
      </c>
      <c r="D61" s="50" t="s">
        <v>116</v>
      </c>
      <c r="E61" s="115" t="s">
        <v>44</v>
      </c>
      <c r="F61" s="51" t="s">
        <v>77</v>
      </c>
      <c r="G61" s="51" t="s">
        <v>102</v>
      </c>
      <c r="H61" s="51" t="s">
        <v>343</v>
      </c>
      <c r="I61" s="53" t="s">
        <v>369</v>
      </c>
      <c r="J61" s="50" t="s">
        <v>344</v>
      </c>
      <c r="K61" s="50" t="s">
        <v>345</v>
      </c>
      <c r="L61" s="52" t="s">
        <v>109</v>
      </c>
      <c r="M61" s="52" t="s">
        <v>110</v>
      </c>
      <c r="N61" s="52" t="s">
        <v>346</v>
      </c>
      <c r="O61" s="90">
        <v>4.5</v>
      </c>
      <c r="P61" s="90">
        <v>4.5</v>
      </c>
      <c r="Q61" s="92">
        <f>4/5</f>
        <v>0.8</v>
      </c>
      <c r="R61" s="92">
        <f>4/5</f>
        <v>0.8</v>
      </c>
      <c r="S61" s="92">
        <f>4/5</f>
        <v>0.8</v>
      </c>
      <c r="T61" s="92">
        <f>3/5</f>
        <v>0.6</v>
      </c>
      <c r="U61" s="92">
        <f>3/5</f>
        <v>0.6</v>
      </c>
      <c r="V61" s="92">
        <f>3/5</f>
        <v>0.6</v>
      </c>
      <c r="W61" s="94">
        <f>AVERAGE(Q61:V61)</f>
        <v>0.70000000000000007</v>
      </c>
      <c r="X61" s="97">
        <f>3.5/4.5</f>
        <v>0.77777777777777779</v>
      </c>
      <c r="Y61" s="148" t="s">
        <v>466</v>
      </c>
    </row>
    <row r="62" spans="1:25" ht="81.75" customHeight="1" x14ac:dyDescent="0.15">
      <c r="A62" s="49" t="s">
        <v>259</v>
      </c>
      <c r="B62" s="49" t="s">
        <v>289</v>
      </c>
      <c r="C62" s="50" t="s">
        <v>308</v>
      </c>
      <c r="D62" s="50" t="s">
        <v>116</v>
      </c>
      <c r="E62" s="115" t="s">
        <v>44</v>
      </c>
      <c r="F62" s="51" t="s">
        <v>77</v>
      </c>
      <c r="G62" s="51" t="s">
        <v>334</v>
      </c>
      <c r="H62" s="51" t="s">
        <v>325</v>
      </c>
      <c r="I62" s="53" t="s">
        <v>338</v>
      </c>
      <c r="J62" s="50" t="s">
        <v>328</v>
      </c>
      <c r="K62" s="50" t="s">
        <v>329</v>
      </c>
      <c r="L62" s="52" t="s">
        <v>107</v>
      </c>
      <c r="M62" s="52" t="s">
        <v>111</v>
      </c>
      <c r="N62" s="52" t="s">
        <v>266</v>
      </c>
      <c r="O62" s="85">
        <v>1</v>
      </c>
      <c r="P62" s="84">
        <v>1</v>
      </c>
      <c r="Q62" s="92" t="s">
        <v>6</v>
      </c>
      <c r="R62" s="92" t="s">
        <v>6</v>
      </c>
      <c r="S62" s="94">
        <v>0</v>
      </c>
      <c r="T62" s="92" t="s">
        <v>6</v>
      </c>
      <c r="U62" s="92" t="s">
        <v>6</v>
      </c>
      <c r="V62" s="94">
        <f>4/4</f>
        <v>1</v>
      </c>
      <c r="W62" s="94">
        <f>AVERAGE(S62,V62)</f>
        <v>0.5</v>
      </c>
      <c r="X62" s="94">
        <f>W62/P62</f>
        <v>0.5</v>
      </c>
      <c r="Y62" s="108" t="s">
        <v>501</v>
      </c>
    </row>
    <row r="63" spans="1:25" ht="81.75" customHeight="1" x14ac:dyDescent="0.15">
      <c r="A63" s="49" t="s">
        <v>259</v>
      </c>
      <c r="B63" s="49" t="s">
        <v>289</v>
      </c>
      <c r="C63" s="50" t="s">
        <v>438</v>
      </c>
      <c r="D63" s="50" t="s">
        <v>116</v>
      </c>
      <c r="E63" s="115" t="s">
        <v>44</v>
      </c>
      <c r="F63" s="128" t="s">
        <v>79</v>
      </c>
      <c r="G63" s="128" t="s">
        <v>334</v>
      </c>
      <c r="H63" s="128" t="s">
        <v>410</v>
      </c>
      <c r="I63" s="151" t="s">
        <v>411</v>
      </c>
      <c r="J63" s="135" t="s">
        <v>436</v>
      </c>
      <c r="K63" s="135" t="s">
        <v>437</v>
      </c>
      <c r="L63" s="136" t="s">
        <v>107</v>
      </c>
      <c r="M63" s="136" t="s">
        <v>110</v>
      </c>
      <c r="N63" s="136" t="s">
        <v>266</v>
      </c>
      <c r="O63" s="85">
        <v>1</v>
      </c>
      <c r="P63" s="85">
        <v>1</v>
      </c>
      <c r="Q63" s="97">
        <f>27/27</f>
        <v>1</v>
      </c>
      <c r="R63" s="97">
        <f>7/7</f>
        <v>1</v>
      </c>
      <c r="S63" s="97">
        <f>3/3</f>
        <v>1</v>
      </c>
      <c r="T63" s="97">
        <f>12/9</f>
        <v>1.3333333333333333</v>
      </c>
      <c r="U63" s="97">
        <f>11/9</f>
        <v>1.2222222222222223</v>
      </c>
      <c r="V63" s="97">
        <f>6/5</f>
        <v>1.2</v>
      </c>
      <c r="W63" s="97">
        <f>AVERAGE(Q63:V63)</f>
        <v>1.125925925925926</v>
      </c>
      <c r="X63" s="97">
        <f>W63/P63</f>
        <v>1.125925925925926</v>
      </c>
      <c r="Y63" s="108" t="s">
        <v>415</v>
      </c>
    </row>
    <row r="64" spans="1:25" ht="81.75" customHeight="1" x14ac:dyDescent="0.15">
      <c r="A64" s="49" t="s">
        <v>259</v>
      </c>
      <c r="B64" s="49" t="s">
        <v>289</v>
      </c>
      <c r="C64" s="50" t="s">
        <v>308</v>
      </c>
      <c r="D64" s="50" t="s">
        <v>116</v>
      </c>
      <c r="E64" s="115" t="s">
        <v>44</v>
      </c>
      <c r="F64" s="128" t="s">
        <v>79</v>
      </c>
      <c r="G64" s="128" t="s">
        <v>334</v>
      </c>
      <c r="H64" s="51" t="s">
        <v>325</v>
      </c>
      <c r="I64" s="151" t="s">
        <v>422</v>
      </c>
      <c r="J64" s="135" t="s">
        <v>332</v>
      </c>
      <c r="K64" s="135" t="s">
        <v>420</v>
      </c>
      <c r="L64" s="136" t="s">
        <v>107</v>
      </c>
      <c r="M64" s="136" t="s">
        <v>111</v>
      </c>
      <c r="N64" s="136" t="s">
        <v>266</v>
      </c>
      <c r="O64" s="85">
        <v>1</v>
      </c>
      <c r="P64" s="85">
        <v>1</v>
      </c>
      <c r="Q64" s="97" t="s">
        <v>6</v>
      </c>
      <c r="R64" s="97" t="s">
        <v>6</v>
      </c>
      <c r="S64" s="97" t="s">
        <v>6</v>
      </c>
      <c r="T64" s="97" t="s">
        <v>6</v>
      </c>
      <c r="U64" s="97">
        <f>+IF(3&lt;=5,1,IF(AND(3&gt;5,3&lt;=10),0.7,IF(3&gt;10,0,0)))</f>
        <v>1</v>
      </c>
      <c r="V64" s="97">
        <f>+IF(3&lt;=5,1,IF(AND(3&gt;5,3&lt;=10),0.7,IF(3&gt;10,0,0)))</f>
        <v>1</v>
      </c>
      <c r="W64" s="97">
        <f>AVERAGE(U64:V64)</f>
        <v>1</v>
      </c>
      <c r="X64" s="97">
        <f>W64/P64</f>
        <v>1</v>
      </c>
      <c r="Y64" s="108" t="s">
        <v>423</v>
      </c>
    </row>
    <row r="65" spans="1:25" ht="81.75" customHeight="1" x14ac:dyDescent="0.15">
      <c r="A65" s="49" t="s">
        <v>259</v>
      </c>
      <c r="B65" s="49" t="s">
        <v>289</v>
      </c>
      <c r="C65" s="50" t="s">
        <v>308</v>
      </c>
      <c r="D65" s="50" t="s">
        <v>116</v>
      </c>
      <c r="E65" s="115" t="s">
        <v>44</v>
      </c>
      <c r="F65" s="128" t="s">
        <v>79</v>
      </c>
      <c r="G65" s="128" t="s">
        <v>334</v>
      </c>
      <c r="H65" s="51" t="s">
        <v>325</v>
      </c>
      <c r="I65" s="151" t="s">
        <v>419</v>
      </c>
      <c r="J65" s="135" t="s">
        <v>332</v>
      </c>
      <c r="K65" s="135" t="s">
        <v>420</v>
      </c>
      <c r="L65" s="136" t="s">
        <v>107</v>
      </c>
      <c r="M65" s="136" t="s">
        <v>111</v>
      </c>
      <c r="N65" s="136" t="s">
        <v>266</v>
      </c>
      <c r="O65" s="85">
        <v>1</v>
      </c>
      <c r="P65" s="85">
        <v>1</v>
      </c>
      <c r="Q65" s="97" t="s">
        <v>6</v>
      </c>
      <c r="R65" s="97" t="s">
        <v>6</v>
      </c>
      <c r="S65" s="97" t="s">
        <v>6</v>
      </c>
      <c r="T65" s="97" t="s">
        <v>6</v>
      </c>
      <c r="U65" s="97" t="s">
        <v>6</v>
      </c>
      <c r="V65" s="97">
        <f>+IF(10&lt;=5,1,IF(AND(10&gt;5,10&lt;=10),0.7,IF(10&gt;10,0,0)))</f>
        <v>0.7</v>
      </c>
      <c r="W65" s="97">
        <f>V65</f>
        <v>0.7</v>
      </c>
      <c r="X65" s="97">
        <f>W65/P65</f>
        <v>0.7</v>
      </c>
      <c r="Y65" s="108" t="s">
        <v>421</v>
      </c>
    </row>
    <row r="66" spans="1:25" ht="81.75" customHeight="1" x14ac:dyDescent="0.15">
      <c r="A66" s="49" t="s">
        <v>259</v>
      </c>
      <c r="B66" s="49" t="s">
        <v>289</v>
      </c>
      <c r="C66" s="50" t="s">
        <v>308</v>
      </c>
      <c r="D66" s="50" t="s">
        <v>116</v>
      </c>
      <c r="E66" s="115" t="s">
        <v>44</v>
      </c>
      <c r="F66" s="51" t="s">
        <v>79</v>
      </c>
      <c r="G66" s="128" t="s">
        <v>334</v>
      </c>
      <c r="H66" s="51" t="s">
        <v>325</v>
      </c>
      <c r="I66" s="151" t="s">
        <v>424</v>
      </c>
      <c r="J66" s="135" t="s">
        <v>332</v>
      </c>
      <c r="K66" s="135" t="s">
        <v>420</v>
      </c>
      <c r="L66" s="136" t="s">
        <v>107</v>
      </c>
      <c r="M66" s="136" t="s">
        <v>111</v>
      </c>
      <c r="N66" s="136" t="s">
        <v>266</v>
      </c>
      <c r="O66" s="85">
        <v>1</v>
      </c>
      <c r="P66" s="85">
        <v>1</v>
      </c>
      <c r="Q66" s="97" t="s">
        <v>6</v>
      </c>
      <c r="R66" s="97" t="s">
        <v>6</v>
      </c>
      <c r="S66" s="97" t="s">
        <v>6</v>
      </c>
      <c r="T66" s="97">
        <f>+IF(5&lt;=5,1,IF(AND(5&gt;5,5&lt;=10),0.7,IF(5&gt;10,0,0)))</f>
        <v>1</v>
      </c>
      <c r="U66" s="97" t="s">
        <v>6</v>
      </c>
      <c r="V66" s="97" t="s">
        <v>6</v>
      </c>
      <c r="W66" s="97">
        <f>T66</f>
        <v>1</v>
      </c>
      <c r="X66" s="97">
        <f>W66/P66</f>
        <v>1</v>
      </c>
      <c r="Y66" s="108" t="s">
        <v>425</v>
      </c>
    </row>
    <row r="67" spans="1:25" ht="98" x14ac:dyDescent="0.15">
      <c r="A67" s="49" t="s">
        <v>259</v>
      </c>
      <c r="B67" s="49" t="s">
        <v>166</v>
      </c>
      <c r="C67" s="50" t="s">
        <v>308</v>
      </c>
      <c r="D67" s="50" t="s">
        <v>116</v>
      </c>
      <c r="E67" s="115" t="s">
        <v>44</v>
      </c>
      <c r="F67" s="51" t="s">
        <v>79</v>
      </c>
      <c r="G67" s="128" t="s">
        <v>334</v>
      </c>
      <c r="H67" s="51" t="s">
        <v>325</v>
      </c>
      <c r="I67" s="151" t="s">
        <v>416</v>
      </c>
      <c r="J67" s="135" t="s">
        <v>332</v>
      </c>
      <c r="K67" s="135" t="s">
        <v>417</v>
      </c>
      <c r="L67" s="136" t="s">
        <v>107</v>
      </c>
      <c r="M67" s="136" t="s">
        <v>111</v>
      </c>
      <c r="N67" s="136" t="s">
        <v>266</v>
      </c>
      <c r="O67" s="85">
        <v>1</v>
      </c>
      <c r="P67" s="85">
        <v>1</v>
      </c>
      <c r="Q67" s="97" t="s">
        <v>6</v>
      </c>
      <c r="R67" s="97" t="s">
        <v>6</v>
      </c>
      <c r="S67" s="97" t="s">
        <v>6</v>
      </c>
      <c r="T67" s="97">
        <f>+IF(5&lt;=5,1,IF(AND(5&gt;5,5&lt;=10),0.7,IF(5&gt;10,0,0)))</f>
        <v>1</v>
      </c>
      <c r="U67" s="97" t="s">
        <v>6</v>
      </c>
      <c r="V67" s="97" t="s">
        <v>6</v>
      </c>
      <c r="W67" s="97">
        <f>T67</f>
        <v>1</v>
      </c>
      <c r="X67" s="97">
        <f>W67/O67</f>
        <v>1</v>
      </c>
      <c r="Y67" s="108" t="s">
        <v>418</v>
      </c>
    </row>
    <row r="68" spans="1:25" ht="73.5" customHeight="1" x14ac:dyDescent="0.15">
      <c r="A68" s="49" t="s">
        <v>259</v>
      </c>
      <c r="B68" s="49" t="s">
        <v>289</v>
      </c>
      <c r="C68" s="50" t="s">
        <v>308</v>
      </c>
      <c r="D68" s="50" t="s">
        <v>116</v>
      </c>
      <c r="E68" s="115" t="s">
        <v>44</v>
      </c>
      <c r="F68" s="51" t="s">
        <v>79</v>
      </c>
      <c r="G68" s="51" t="s">
        <v>104</v>
      </c>
      <c r="H68" s="51" t="s">
        <v>325</v>
      </c>
      <c r="I68" s="53" t="s">
        <v>361</v>
      </c>
      <c r="J68" s="50" t="s">
        <v>330</v>
      </c>
      <c r="K68" s="50" t="s">
        <v>329</v>
      </c>
      <c r="L68" s="52" t="s">
        <v>107</v>
      </c>
      <c r="M68" s="52" t="s">
        <v>111</v>
      </c>
      <c r="N68" s="52" t="s">
        <v>266</v>
      </c>
      <c r="O68" s="85">
        <v>1</v>
      </c>
      <c r="P68" s="85">
        <v>1</v>
      </c>
      <c r="Q68" s="93" t="s">
        <v>6</v>
      </c>
      <c r="R68" s="93" t="s">
        <v>6</v>
      </c>
      <c r="S68" s="94">
        <v>1</v>
      </c>
      <c r="T68" s="94"/>
      <c r="U68" s="94"/>
      <c r="V68" s="94"/>
      <c r="W68" s="94">
        <f>AVERAGE(Q68:S68)</f>
        <v>1</v>
      </c>
      <c r="X68" s="94">
        <f>W68/P68</f>
        <v>1</v>
      </c>
      <c r="Y68" s="101" t="s">
        <v>384</v>
      </c>
    </row>
    <row r="69" spans="1:25" ht="84" x14ac:dyDescent="0.15">
      <c r="A69" s="49" t="s">
        <v>259</v>
      </c>
      <c r="B69" s="49" t="s">
        <v>289</v>
      </c>
      <c r="C69" s="50" t="s">
        <v>308</v>
      </c>
      <c r="D69" s="50" t="s">
        <v>116</v>
      </c>
      <c r="E69" s="115" t="s">
        <v>44</v>
      </c>
      <c r="F69" s="51" t="s">
        <v>81</v>
      </c>
      <c r="G69" s="51" t="s">
        <v>290</v>
      </c>
      <c r="H69" s="51" t="s">
        <v>251</v>
      </c>
      <c r="I69" s="53" t="s">
        <v>186</v>
      </c>
      <c r="J69" s="50" t="s">
        <v>187</v>
      </c>
      <c r="K69" s="50" t="s">
        <v>291</v>
      </c>
      <c r="L69" s="52" t="s">
        <v>107</v>
      </c>
      <c r="M69" s="52" t="s">
        <v>111</v>
      </c>
      <c r="N69" s="52" t="s">
        <v>266</v>
      </c>
      <c r="O69" s="85">
        <v>1</v>
      </c>
      <c r="P69" s="85">
        <v>1</v>
      </c>
      <c r="Q69" s="92" t="s">
        <v>370</v>
      </c>
      <c r="R69" s="92" t="s">
        <v>370</v>
      </c>
      <c r="S69" s="92" t="s">
        <v>370</v>
      </c>
      <c r="T69" s="92" t="s">
        <v>370</v>
      </c>
      <c r="U69" s="92" t="s">
        <v>370</v>
      </c>
      <c r="V69" s="92" t="s">
        <v>370</v>
      </c>
      <c r="W69" s="92" t="s">
        <v>370</v>
      </c>
      <c r="X69" s="92">
        <v>0</v>
      </c>
      <c r="Y69" s="150" t="s">
        <v>468</v>
      </c>
    </row>
    <row r="70" spans="1:25" ht="56" x14ac:dyDescent="0.15">
      <c r="A70" s="49" t="s">
        <v>259</v>
      </c>
      <c r="B70" s="49" t="s">
        <v>289</v>
      </c>
      <c r="C70" s="50" t="s">
        <v>308</v>
      </c>
      <c r="D70" s="50" t="s">
        <v>116</v>
      </c>
      <c r="E70" s="115" t="s">
        <v>44</v>
      </c>
      <c r="F70" s="51" t="s">
        <v>81</v>
      </c>
      <c r="G70" s="51" t="s">
        <v>334</v>
      </c>
      <c r="H70" s="51" t="s">
        <v>325</v>
      </c>
      <c r="I70" s="53" t="s">
        <v>339</v>
      </c>
      <c r="J70" s="50" t="s">
        <v>328</v>
      </c>
      <c r="K70" s="50" t="s">
        <v>329</v>
      </c>
      <c r="L70" s="52" t="s">
        <v>107</v>
      </c>
      <c r="M70" s="52" t="s">
        <v>111</v>
      </c>
      <c r="N70" s="52" t="s">
        <v>266</v>
      </c>
      <c r="O70" s="85">
        <v>1</v>
      </c>
      <c r="P70" s="85">
        <v>1</v>
      </c>
      <c r="Q70" s="92" t="s">
        <v>6</v>
      </c>
      <c r="R70" s="92" t="s">
        <v>6</v>
      </c>
      <c r="S70" s="94">
        <v>0</v>
      </c>
      <c r="T70" s="92" t="s">
        <v>6</v>
      </c>
      <c r="U70" s="92" t="s">
        <v>6</v>
      </c>
      <c r="V70" s="94">
        <f>1/1</f>
        <v>1</v>
      </c>
      <c r="W70" s="94">
        <f>AVERAGE(S70,V70)</f>
        <v>0.5</v>
      </c>
      <c r="X70" s="94">
        <f>W70/P70</f>
        <v>0.5</v>
      </c>
      <c r="Y70" s="108" t="s">
        <v>502</v>
      </c>
    </row>
    <row r="71" spans="1:25" ht="15" thickBot="1" x14ac:dyDescent="0.2">
      <c r="G71" s="59"/>
      <c r="H71" s="127"/>
      <c r="Q71" s="78"/>
    </row>
    <row r="72" spans="1:25" ht="16.5" customHeight="1" x14ac:dyDescent="0.15">
      <c r="A72" s="169" t="s">
        <v>4</v>
      </c>
      <c r="B72" s="172" t="s">
        <v>5</v>
      </c>
      <c r="C72" s="173"/>
      <c r="D72" s="56" t="s">
        <v>6</v>
      </c>
      <c r="F72" s="57"/>
      <c r="G72" s="59"/>
      <c r="H72" s="127"/>
      <c r="J72" s="74"/>
      <c r="Q72" s="88"/>
      <c r="W72" s="122"/>
    </row>
    <row r="73" spans="1:25" ht="18.75" customHeight="1" x14ac:dyDescent="0.15">
      <c r="A73" s="170"/>
      <c r="B73" s="174" t="s">
        <v>7</v>
      </c>
      <c r="C73" s="175"/>
      <c r="D73" s="58" t="s">
        <v>8</v>
      </c>
      <c r="F73" s="59"/>
      <c r="G73" s="59"/>
      <c r="H73" s="127"/>
      <c r="J73" s="76"/>
      <c r="Q73" s="87"/>
    </row>
    <row r="74" spans="1:25" x14ac:dyDescent="0.15">
      <c r="A74" s="170"/>
      <c r="B74" s="176" t="s">
        <v>9</v>
      </c>
      <c r="C74" s="177"/>
      <c r="D74" s="58" t="s">
        <v>10</v>
      </c>
      <c r="F74" s="59"/>
      <c r="G74" s="59"/>
      <c r="H74" s="127"/>
      <c r="I74" s="127"/>
      <c r="J74" s="74"/>
    </row>
    <row r="75" spans="1:25" ht="15" thickBot="1" x14ac:dyDescent="0.2">
      <c r="A75" s="171"/>
      <c r="B75" s="178" t="s">
        <v>11</v>
      </c>
      <c r="C75" s="179"/>
      <c r="D75" s="60" t="s">
        <v>12</v>
      </c>
      <c r="F75" s="61"/>
      <c r="G75" s="61"/>
      <c r="H75" s="132"/>
      <c r="I75" s="132"/>
      <c r="J75" s="75"/>
      <c r="L75" s="180" t="s">
        <v>4</v>
      </c>
      <c r="M75" s="183" t="s">
        <v>5</v>
      </c>
      <c r="N75" s="183"/>
      <c r="O75" s="183" t="s">
        <v>6</v>
      </c>
      <c r="P75" s="183"/>
      <c r="Q75" s="183"/>
    </row>
    <row r="76" spans="1:25" x14ac:dyDescent="0.15">
      <c r="H76" s="132"/>
      <c r="I76" s="132"/>
      <c r="J76" s="75"/>
      <c r="L76" s="181"/>
      <c r="M76" s="184" t="s">
        <v>7</v>
      </c>
      <c r="N76" s="184"/>
      <c r="O76" s="185" t="s">
        <v>8</v>
      </c>
      <c r="P76" s="185"/>
      <c r="Q76" s="185"/>
    </row>
    <row r="77" spans="1:25" x14ac:dyDescent="0.15">
      <c r="H77" s="127"/>
      <c r="L77" s="181"/>
      <c r="M77" s="186" t="s">
        <v>9</v>
      </c>
      <c r="N77" s="186"/>
      <c r="O77" s="187" t="s">
        <v>10</v>
      </c>
      <c r="P77" s="187"/>
      <c r="Q77" s="187"/>
    </row>
    <row r="78" spans="1:25" x14ac:dyDescent="0.15">
      <c r="H78" s="127"/>
      <c r="L78" s="182"/>
      <c r="M78" s="188" t="s">
        <v>11</v>
      </c>
      <c r="N78" s="188"/>
      <c r="O78" s="189" t="s">
        <v>12</v>
      </c>
      <c r="P78" s="189"/>
      <c r="Q78" s="189"/>
    </row>
    <row r="79" spans="1:25" x14ac:dyDescent="0.15">
      <c r="H79" s="127"/>
    </row>
  </sheetData>
  <mergeCells count="16">
    <mergeCell ref="A1:A3"/>
    <mergeCell ref="B1:Q3"/>
    <mergeCell ref="A72:A75"/>
    <mergeCell ref="B72:C72"/>
    <mergeCell ref="B73:C73"/>
    <mergeCell ref="B74:C74"/>
    <mergeCell ref="B75:C75"/>
    <mergeCell ref="L75:L78"/>
    <mergeCell ref="M75:N75"/>
    <mergeCell ref="O75:Q75"/>
    <mergeCell ref="M76:N76"/>
    <mergeCell ref="O76:Q76"/>
    <mergeCell ref="M77:N77"/>
    <mergeCell ref="O77:Q77"/>
    <mergeCell ref="M78:N78"/>
    <mergeCell ref="O78:Q78"/>
  </mergeCells>
  <dataValidations count="18">
    <dataValidation type="list" allowBlank="1" showInputMessage="1" showErrorMessage="1" sqref="G5:G7 C64:C70 C19:C62 G11:G12 C5:C17">
      <formula1>MetasPDD</formula1>
    </dataValidation>
    <dataValidation type="list" allowBlank="1" showInputMessage="1" showErrorMessage="1" sqref="G8:G10 G58:G61 G29:G40 G68:G69 G43:G45 G47:G56 G16:G27 G13:G14">
      <formula1>MetasProceso</formula1>
    </dataValidation>
    <dataValidation type="list" allowBlank="1" showInputMessage="1" showErrorMessage="1" sqref="G63:G67">
      <formula1>$G$64</formula1>
    </dataValidation>
    <dataValidation type="list" allowBlank="1" showInputMessage="1" showErrorMessage="1" sqref="C63">
      <formula1>$C$64+$C$63</formula1>
    </dataValidation>
    <dataValidation type="list" allowBlank="1" showInputMessage="1" showErrorMessage="1" sqref="C18">
      <formula1>$C$19</formula1>
    </dataValidation>
    <dataValidation type="list" allowBlank="1" showInputMessage="1" showErrorMessage="1" sqref="G15">
      <formula1>$G$15</formula1>
    </dataValidation>
    <dataValidation type="list" allowBlank="1" showInputMessage="1" showErrorMessage="1" sqref="G28">
      <formula1>$G$28</formula1>
    </dataValidation>
    <dataValidation type="list" allowBlank="1" showInputMessage="1" showErrorMessage="1" sqref="G41">
      <formula1>$G$41</formula1>
    </dataValidation>
    <dataValidation type="list" allowBlank="1" showInputMessage="1" showErrorMessage="1" sqref="G46">
      <formula1>$G$46</formula1>
    </dataValidation>
    <dataValidation type="list" allowBlank="1" showInputMessage="1" showErrorMessage="1" sqref="G62">
      <formula1>$G$62</formula1>
    </dataValidation>
    <dataValidation type="list" allowBlank="1" showInputMessage="1" showErrorMessage="1" sqref="G57">
      <formula1>$G$57</formula1>
    </dataValidation>
    <dataValidation type="list" allowBlank="1" showInputMessage="1" showErrorMessage="1" sqref="G70">
      <formula1>$G$70</formula1>
    </dataValidation>
    <dataValidation type="list" allowBlank="1" showInputMessage="1" showErrorMessage="1" sqref="L5:L70">
      <formula1>Tipoindicador</formula1>
    </dataValidation>
    <dataValidation type="list" allowBlank="1" showInputMessage="1" showErrorMessage="1" sqref="F5:F70">
      <formula1>Procesos</formula1>
    </dataValidation>
    <dataValidation type="list" allowBlank="1" showInputMessage="1" showErrorMessage="1" sqref="M5:M70">
      <formula1>Periodicidad</formula1>
    </dataValidation>
    <dataValidation type="list" allowBlank="1" showInputMessage="1" showErrorMessage="1" sqref="D5:D70">
      <formula1>ProyectosInversión</formula1>
    </dataValidation>
    <dataValidation type="list" allowBlank="1" showInputMessage="1" showErrorMessage="1" sqref="A5:A70">
      <formula1>EjeTransversalPDD</formula1>
    </dataValidation>
    <dataValidation type="list" allowBlank="1" showInputMessage="1" showErrorMessage="1" sqref="B5:B70">
      <formula1>ProyectoEstrategicoPDD</formula1>
    </dataValidation>
  </dataValidations>
  <printOptions horizontalCentered="1"/>
  <pageMargins left="0.25" right="0.25" top="0.75" bottom="0.75" header="0.3" footer="0.3"/>
  <pageSetup paperSize="145" scale="61" fitToHeight="0" orientation="landscape" r:id="rId1"/>
  <headerFooter scaleWithDoc="0">
    <oddFooter>&amp;L&amp;"Times New Roman,Normal"&amp;10DE-F22-V1&amp;R&amp;"Times New Roman,Normal"&amp;10Página &amp;P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'Fuente '!$R$2:$R$6</xm:f>
          </x14:formula1>
          <xm:sqref>E42:E70 E22:E24 E28:E40 E5:E17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C16"/>
  <sheetViews>
    <sheetView workbookViewId="0">
      <selection activeCell="E11" sqref="E11"/>
    </sheetView>
  </sheetViews>
  <sheetFormatPr baseColWidth="10" defaultRowHeight="15" x14ac:dyDescent="0.2"/>
  <cols>
    <col min="1" max="1" width="18.33203125" customWidth="1"/>
    <col min="3" max="3" width="17.83203125" customWidth="1"/>
  </cols>
  <sheetData>
    <row r="1" spans="1:3" x14ac:dyDescent="0.2">
      <c r="A1" s="196" t="s">
        <v>404</v>
      </c>
      <c r="B1" s="197"/>
      <c r="C1" s="198"/>
    </row>
    <row r="2" spans="1:3" ht="30" x14ac:dyDescent="0.2">
      <c r="A2" s="194" t="s">
        <v>390</v>
      </c>
      <c r="B2" s="195"/>
      <c r="C2" s="131" t="s">
        <v>405</v>
      </c>
    </row>
    <row r="3" spans="1:3" ht="17" customHeight="1" x14ac:dyDescent="0.2">
      <c r="A3" s="190" t="s">
        <v>389</v>
      </c>
      <c r="B3" s="191"/>
      <c r="C3" s="129"/>
    </row>
    <row r="4" spans="1:3" ht="14.5" customHeight="1" x14ac:dyDescent="0.2">
      <c r="A4" s="190" t="s">
        <v>391</v>
      </c>
      <c r="B4" s="191"/>
      <c r="C4" s="130"/>
    </row>
    <row r="5" spans="1:3" ht="14.5" customHeight="1" x14ac:dyDescent="0.2">
      <c r="A5" s="190" t="s">
        <v>392</v>
      </c>
      <c r="B5" s="191"/>
      <c r="C5" s="130"/>
    </row>
    <row r="6" spans="1:3" ht="14.5" customHeight="1" x14ac:dyDescent="0.2">
      <c r="A6" s="190" t="s">
        <v>393</v>
      </c>
      <c r="B6" s="191"/>
      <c r="C6" s="130"/>
    </row>
    <row r="7" spans="1:3" ht="14.5" customHeight="1" x14ac:dyDescent="0.2">
      <c r="A7" s="190" t="s">
        <v>394</v>
      </c>
      <c r="B7" s="191"/>
      <c r="C7" s="130"/>
    </row>
    <row r="8" spans="1:3" ht="14.5" customHeight="1" x14ac:dyDescent="0.2">
      <c r="A8" s="190" t="s">
        <v>395</v>
      </c>
      <c r="B8" s="191"/>
      <c r="C8" s="130"/>
    </row>
    <row r="9" spans="1:3" ht="14.5" customHeight="1" x14ac:dyDescent="0.2">
      <c r="A9" s="190" t="s">
        <v>396</v>
      </c>
      <c r="B9" s="191"/>
      <c r="C9" s="130"/>
    </row>
    <row r="10" spans="1:3" ht="14.5" customHeight="1" x14ac:dyDescent="0.2">
      <c r="A10" s="190" t="s">
        <v>397</v>
      </c>
      <c r="B10" s="191"/>
      <c r="C10" s="130"/>
    </row>
    <row r="11" spans="1:3" ht="14.5" customHeight="1" x14ac:dyDescent="0.2">
      <c r="A11" s="190" t="s">
        <v>398</v>
      </c>
      <c r="B11" s="191"/>
      <c r="C11" s="130"/>
    </row>
    <row r="12" spans="1:3" ht="14.5" customHeight="1" x14ac:dyDescent="0.2">
      <c r="A12" s="190" t="s">
        <v>399</v>
      </c>
      <c r="B12" s="191"/>
      <c r="C12" s="130"/>
    </row>
    <row r="13" spans="1:3" ht="14.5" customHeight="1" x14ac:dyDescent="0.2">
      <c r="A13" s="190" t="s">
        <v>402</v>
      </c>
      <c r="B13" s="191"/>
      <c r="C13" s="130"/>
    </row>
    <row r="14" spans="1:3" ht="14.5" customHeight="1" x14ac:dyDescent="0.2">
      <c r="A14" s="190" t="s">
        <v>400</v>
      </c>
      <c r="B14" s="191"/>
      <c r="C14" s="130"/>
    </row>
    <row r="15" spans="1:3" ht="14.5" customHeight="1" x14ac:dyDescent="0.2">
      <c r="A15" s="190" t="s">
        <v>401</v>
      </c>
      <c r="B15" s="191"/>
      <c r="C15" s="130"/>
    </row>
    <row r="16" spans="1:3" ht="14.5" customHeight="1" thickBot="1" x14ac:dyDescent="0.25">
      <c r="A16" s="192" t="s">
        <v>403</v>
      </c>
      <c r="B16" s="193"/>
      <c r="C16" s="130"/>
    </row>
  </sheetData>
  <mergeCells count="16">
    <mergeCell ref="A14:B14"/>
    <mergeCell ref="A15:B15"/>
    <mergeCell ref="A16:B16"/>
    <mergeCell ref="A2:B2"/>
    <mergeCell ref="A1:C1"/>
    <mergeCell ref="A8:B8"/>
    <mergeCell ref="A9:B9"/>
    <mergeCell ref="A10:B10"/>
    <mergeCell ref="A11:B11"/>
    <mergeCell ref="A12:B12"/>
    <mergeCell ref="A13:B13"/>
    <mergeCell ref="A3:B3"/>
    <mergeCell ref="A4:B4"/>
    <mergeCell ref="A5:B5"/>
    <mergeCell ref="A6:B6"/>
    <mergeCell ref="A7:B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D4:K11"/>
  <sheetViews>
    <sheetView workbookViewId="0"/>
  </sheetViews>
  <sheetFormatPr baseColWidth="10" defaultRowHeight="15" x14ac:dyDescent="0.2"/>
  <sheetData>
    <row r="4" spans="4:11" x14ac:dyDescent="0.2">
      <c r="D4" t="s">
        <v>372</v>
      </c>
    </row>
    <row r="5" spans="4:11" x14ac:dyDescent="0.2">
      <c r="G5" t="s">
        <v>373</v>
      </c>
      <c r="H5" t="s">
        <v>374</v>
      </c>
      <c r="I5" t="s">
        <v>375</v>
      </c>
      <c r="J5" t="s">
        <v>376</v>
      </c>
      <c r="K5" s="109">
        <v>0.3</v>
      </c>
    </row>
    <row r="6" spans="4:11" x14ac:dyDescent="0.2">
      <c r="E6" t="s">
        <v>377</v>
      </c>
      <c r="G6" s="111">
        <f>+K5/4</f>
        <v>7.4999999999999997E-2</v>
      </c>
      <c r="H6" s="111">
        <v>7.4999999999999997E-2</v>
      </c>
      <c r="I6" s="111">
        <v>7.4999999999999997E-2</v>
      </c>
      <c r="J6" s="111">
        <v>7.4999999999999997E-2</v>
      </c>
    </row>
    <row r="8" spans="4:11" x14ac:dyDescent="0.2">
      <c r="D8" t="s">
        <v>378</v>
      </c>
      <c r="E8">
        <v>52345</v>
      </c>
      <c r="G8" s="110">
        <f>(E9-E8)/E8</f>
        <v>0.13323144521921865</v>
      </c>
    </row>
    <row r="9" spans="4:11" x14ac:dyDescent="0.2">
      <c r="D9" t="s">
        <v>379</v>
      </c>
      <c r="E9">
        <v>59319</v>
      </c>
    </row>
    <row r="11" spans="4:11" x14ac:dyDescent="0.2">
      <c r="G11" s="110">
        <f>+G8/G6</f>
        <v>1.776419269589582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pageSetUpPr fitToPage="1"/>
  </sheetPr>
  <dimension ref="A1:D34"/>
  <sheetViews>
    <sheetView view="pageBreakPreview" zoomScaleSheetLayoutView="100" workbookViewId="0"/>
  </sheetViews>
  <sheetFormatPr baseColWidth="10" defaultColWidth="11.5" defaultRowHeight="15" x14ac:dyDescent="0.2"/>
  <cols>
    <col min="1" max="1" width="41.5" style="40" customWidth="1"/>
    <col min="2" max="2" width="100.5" style="40" customWidth="1"/>
    <col min="3" max="3" width="26.83203125" style="40" customWidth="1"/>
    <col min="4" max="16384" width="11.5" style="40"/>
  </cols>
  <sheetData>
    <row r="1" spans="1:4" ht="16" thickBot="1" x14ac:dyDescent="0.25">
      <c r="B1" s="41"/>
    </row>
    <row r="2" spans="1:4" ht="15" customHeight="1" thickBot="1" x14ac:dyDescent="0.25">
      <c r="A2" s="199" t="s">
        <v>159</v>
      </c>
      <c r="B2" s="200"/>
    </row>
    <row r="3" spans="1:4" ht="15" customHeight="1" thickBot="1" x14ac:dyDescent="0.25">
      <c r="A3" s="63" t="s">
        <v>161</v>
      </c>
      <c r="B3" s="64" t="s">
        <v>160</v>
      </c>
    </row>
    <row r="4" spans="1:4" x14ac:dyDescent="0.2">
      <c r="A4" s="65" t="s">
        <v>158</v>
      </c>
      <c r="B4" s="66" t="s">
        <v>135</v>
      </c>
      <c r="C4" s="42"/>
      <c r="D4" s="43"/>
    </row>
    <row r="5" spans="1:4" x14ac:dyDescent="0.2">
      <c r="A5" s="67" t="s">
        <v>157</v>
      </c>
      <c r="B5" s="68" t="s">
        <v>136</v>
      </c>
      <c r="C5" s="44"/>
      <c r="D5" s="43"/>
    </row>
    <row r="6" spans="1:4" x14ac:dyDescent="0.2">
      <c r="A6" s="69" t="s">
        <v>120</v>
      </c>
      <c r="B6" s="70" t="s">
        <v>137</v>
      </c>
      <c r="C6" s="44"/>
      <c r="D6" s="43"/>
    </row>
    <row r="7" spans="1:4" x14ac:dyDescent="0.2">
      <c r="A7" s="69" t="s">
        <v>156</v>
      </c>
      <c r="B7" s="71" t="s">
        <v>138</v>
      </c>
      <c r="C7" s="44"/>
      <c r="D7" s="43"/>
    </row>
    <row r="8" spans="1:4" ht="28" x14ac:dyDescent="0.2">
      <c r="A8" s="67" t="s">
        <v>155</v>
      </c>
      <c r="B8" s="71" t="s">
        <v>139</v>
      </c>
      <c r="C8" s="44"/>
      <c r="D8" s="43"/>
    </row>
    <row r="9" spans="1:4" x14ac:dyDescent="0.2">
      <c r="A9" s="67" t="s">
        <v>123</v>
      </c>
      <c r="B9" s="71" t="s">
        <v>140</v>
      </c>
      <c r="C9" s="44"/>
      <c r="D9" s="43"/>
    </row>
    <row r="10" spans="1:4" x14ac:dyDescent="0.2">
      <c r="A10" s="67" t="s">
        <v>132</v>
      </c>
      <c r="B10" s="71" t="s">
        <v>141</v>
      </c>
    </row>
    <row r="11" spans="1:4" ht="28" x14ac:dyDescent="0.2">
      <c r="A11" s="67" t="s">
        <v>154</v>
      </c>
      <c r="B11" s="71" t="s">
        <v>176</v>
      </c>
    </row>
    <row r="12" spans="1:4" x14ac:dyDescent="0.2">
      <c r="A12" s="67" t="s">
        <v>153</v>
      </c>
      <c r="B12" s="71" t="s">
        <v>142</v>
      </c>
    </row>
    <row r="13" spans="1:4" x14ac:dyDescent="0.2">
      <c r="A13" s="67" t="s">
        <v>152</v>
      </c>
      <c r="B13" s="71" t="s">
        <v>143</v>
      </c>
    </row>
    <row r="14" spans="1:4" x14ac:dyDescent="0.2">
      <c r="A14" s="67" t="s">
        <v>151</v>
      </c>
      <c r="B14" s="71" t="s">
        <v>144</v>
      </c>
    </row>
    <row r="15" spans="1:4" ht="79.5" customHeight="1" x14ac:dyDescent="0.2">
      <c r="A15" s="67" t="s">
        <v>150</v>
      </c>
      <c r="B15" s="71" t="s">
        <v>169</v>
      </c>
    </row>
    <row r="16" spans="1:4" x14ac:dyDescent="0.2">
      <c r="A16" s="67" t="s">
        <v>130</v>
      </c>
      <c r="B16" s="71" t="s">
        <v>170</v>
      </c>
    </row>
    <row r="17" spans="1:2" x14ac:dyDescent="0.2">
      <c r="A17" s="67" t="s">
        <v>131</v>
      </c>
      <c r="B17" s="71" t="s">
        <v>171</v>
      </c>
    </row>
    <row r="18" spans="1:2" x14ac:dyDescent="0.2">
      <c r="A18" s="67" t="s">
        <v>149</v>
      </c>
      <c r="B18" s="71" t="s">
        <v>172</v>
      </c>
    </row>
    <row r="19" spans="1:2" x14ac:dyDescent="0.2">
      <c r="A19" s="67" t="s">
        <v>133</v>
      </c>
      <c r="B19" s="71" t="s">
        <v>145</v>
      </c>
    </row>
    <row r="20" spans="1:2" x14ac:dyDescent="0.2">
      <c r="A20" s="67" t="s">
        <v>148</v>
      </c>
      <c r="B20" s="71" t="s">
        <v>175</v>
      </c>
    </row>
    <row r="21" spans="1:2" ht="28" x14ac:dyDescent="0.2">
      <c r="A21" s="67" t="s">
        <v>134</v>
      </c>
      <c r="B21" s="71" t="s">
        <v>174</v>
      </c>
    </row>
    <row r="22" spans="1:2" ht="16" thickBot="1" x14ac:dyDescent="0.25">
      <c r="A22" s="72" t="s">
        <v>147</v>
      </c>
      <c r="B22" s="73" t="s">
        <v>146</v>
      </c>
    </row>
    <row r="23" spans="1:2" x14ac:dyDescent="0.2">
      <c r="B23" s="45"/>
    </row>
    <row r="24" spans="1:2" x14ac:dyDescent="0.2">
      <c r="B24" s="46"/>
    </row>
    <row r="25" spans="1:2" x14ac:dyDescent="0.2">
      <c r="B25" s="46"/>
    </row>
    <row r="26" spans="1:2" x14ac:dyDescent="0.2">
      <c r="B26" s="62"/>
    </row>
    <row r="27" spans="1:2" x14ac:dyDescent="0.2">
      <c r="B27" s="46"/>
    </row>
    <row r="28" spans="1:2" x14ac:dyDescent="0.2">
      <c r="B28" s="46"/>
    </row>
    <row r="29" spans="1:2" x14ac:dyDescent="0.2">
      <c r="B29" s="46"/>
    </row>
    <row r="30" spans="1:2" x14ac:dyDescent="0.2">
      <c r="B30" s="46"/>
    </row>
    <row r="31" spans="1:2" x14ac:dyDescent="0.2">
      <c r="B31" s="46"/>
    </row>
    <row r="32" spans="1:2" x14ac:dyDescent="0.2">
      <c r="B32" s="46"/>
    </row>
    <row r="33" spans="2:2" x14ac:dyDescent="0.2">
      <c r="B33" s="46"/>
    </row>
    <row r="34" spans="2:2" x14ac:dyDescent="0.2">
      <c r="B34" s="46"/>
    </row>
  </sheetData>
  <mergeCells count="1">
    <mergeCell ref="A2:B2"/>
  </mergeCells>
  <phoneticPr fontId="24" type="noConversion"/>
  <pageMargins left="0.7" right="0.7" top="0.75" bottom="0.75" header="0.3" footer="0.3"/>
  <pageSetup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2:T47"/>
  <sheetViews>
    <sheetView topLeftCell="O20" zoomScale="90" zoomScaleNormal="90" workbookViewId="0">
      <selection activeCell="P31" sqref="P31"/>
    </sheetView>
  </sheetViews>
  <sheetFormatPr baseColWidth="10" defaultRowHeight="13" x14ac:dyDescent="0.15"/>
  <cols>
    <col min="1" max="1" width="28" style="3" customWidth="1"/>
    <col min="2" max="2" width="43.5" style="3" customWidth="1"/>
    <col min="3" max="3" width="129.83203125" style="3" customWidth="1"/>
    <col min="4" max="4" width="10.83203125" style="3"/>
    <col min="5" max="5" width="58.5" style="3" customWidth="1"/>
    <col min="6" max="6" width="65.6640625" style="3" customWidth="1"/>
    <col min="7" max="14" width="10.83203125" style="3"/>
    <col min="15" max="15" width="35.83203125" style="3" customWidth="1"/>
    <col min="16" max="16" width="33.5" style="3" customWidth="1"/>
    <col min="17" max="17" width="36.5" style="3" customWidth="1"/>
    <col min="18" max="18" width="28.6640625" style="3" customWidth="1"/>
    <col min="19" max="19" width="27" style="3" customWidth="1"/>
    <col min="20" max="256" width="10.83203125" style="3"/>
    <col min="257" max="257" width="28" style="3" customWidth="1"/>
    <col min="258" max="258" width="43.5" style="3" customWidth="1"/>
    <col min="259" max="259" width="129.83203125" style="3" customWidth="1"/>
    <col min="260" max="261" width="10.83203125" style="3"/>
    <col min="262" max="262" width="54.83203125" style="3" customWidth="1"/>
    <col min="263" max="270" width="10.83203125" style="3"/>
    <col min="271" max="271" width="35.83203125" style="3" customWidth="1"/>
    <col min="272" max="272" width="20.1640625" style="3" customWidth="1"/>
    <col min="273" max="273" width="36.5" style="3" customWidth="1"/>
    <col min="274" max="274" width="28.6640625" style="3" customWidth="1"/>
    <col min="275" max="275" width="27" style="3" customWidth="1"/>
    <col min="276" max="512" width="10.83203125" style="3"/>
    <col min="513" max="513" width="28" style="3" customWidth="1"/>
    <col min="514" max="514" width="43.5" style="3" customWidth="1"/>
    <col min="515" max="515" width="129.83203125" style="3" customWidth="1"/>
    <col min="516" max="517" width="10.83203125" style="3"/>
    <col min="518" max="518" width="54.83203125" style="3" customWidth="1"/>
    <col min="519" max="526" width="10.83203125" style="3"/>
    <col min="527" max="527" width="35.83203125" style="3" customWidth="1"/>
    <col min="528" max="528" width="20.1640625" style="3" customWidth="1"/>
    <col min="529" max="529" width="36.5" style="3" customWidth="1"/>
    <col min="530" max="530" width="28.6640625" style="3" customWidth="1"/>
    <col min="531" max="531" width="27" style="3" customWidth="1"/>
    <col min="532" max="768" width="10.83203125" style="3"/>
    <col min="769" max="769" width="28" style="3" customWidth="1"/>
    <col min="770" max="770" width="43.5" style="3" customWidth="1"/>
    <col min="771" max="771" width="129.83203125" style="3" customWidth="1"/>
    <col min="772" max="773" width="10.83203125" style="3"/>
    <col min="774" max="774" width="54.83203125" style="3" customWidth="1"/>
    <col min="775" max="782" width="10.83203125" style="3"/>
    <col min="783" max="783" width="35.83203125" style="3" customWidth="1"/>
    <col min="784" max="784" width="20.1640625" style="3" customWidth="1"/>
    <col min="785" max="785" width="36.5" style="3" customWidth="1"/>
    <col min="786" max="786" width="28.6640625" style="3" customWidth="1"/>
    <col min="787" max="787" width="27" style="3" customWidth="1"/>
    <col min="788" max="1024" width="10.83203125" style="3"/>
    <col min="1025" max="1025" width="28" style="3" customWidth="1"/>
    <col min="1026" max="1026" width="43.5" style="3" customWidth="1"/>
    <col min="1027" max="1027" width="129.83203125" style="3" customWidth="1"/>
    <col min="1028" max="1029" width="10.83203125" style="3"/>
    <col min="1030" max="1030" width="54.83203125" style="3" customWidth="1"/>
    <col min="1031" max="1038" width="10.83203125" style="3"/>
    <col min="1039" max="1039" width="35.83203125" style="3" customWidth="1"/>
    <col min="1040" max="1040" width="20.1640625" style="3" customWidth="1"/>
    <col min="1041" max="1041" width="36.5" style="3" customWidth="1"/>
    <col min="1042" max="1042" width="28.6640625" style="3" customWidth="1"/>
    <col min="1043" max="1043" width="27" style="3" customWidth="1"/>
    <col min="1044" max="1280" width="10.83203125" style="3"/>
    <col min="1281" max="1281" width="28" style="3" customWidth="1"/>
    <col min="1282" max="1282" width="43.5" style="3" customWidth="1"/>
    <col min="1283" max="1283" width="129.83203125" style="3" customWidth="1"/>
    <col min="1284" max="1285" width="10.83203125" style="3"/>
    <col min="1286" max="1286" width="54.83203125" style="3" customWidth="1"/>
    <col min="1287" max="1294" width="10.83203125" style="3"/>
    <col min="1295" max="1295" width="35.83203125" style="3" customWidth="1"/>
    <col min="1296" max="1296" width="20.1640625" style="3" customWidth="1"/>
    <col min="1297" max="1297" width="36.5" style="3" customWidth="1"/>
    <col min="1298" max="1298" width="28.6640625" style="3" customWidth="1"/>
    <col min="1299" max="1299" width="27" style="3" customWidth="1"/>
    <col min="1300" max="1536" width="10.83203125" style="3"/>
    <col min="1537" max="1537" width="28" style="3" customWidth="1"/>
    <col min="1538" max="1538" width="43.5" style="3" customWidth="1"/>
    <col min="1539" max="1539" width="129.83203125" style="3" customWidth="1"/>
    <col min="1540" max="1541" width="10.83203125" style="3"/>
    <col min="1542" max="1542" width="54.83203125" style="3" customWidth="1"/>
    <col min="1543" max="1550" width="10.83203125" style="3"/>
    <col min="1551" max="1551" width="35.83203125" style="3" customWidth="1"/>
    <col min="1552" max="1552" width="20.1640625" style="3" customWidth="1"/>
    <col min="1553" max="1553" width="36.5" style="3" customWidth="1"/>
    <col min="1554" max="1554" width="28.6640625" style="3" customWidth="1"/>
    <col min="1555" max="1555" width="27" style="3" customWidth="1"/>
    <col min="1556" max="1792" width="10.83203125" style="3"/>
    <col min="1793" max="1793" width="28" style="3" customWidth="1"/>
    <col min="1794" max="1794" width="43.5" style="3" customWidth="1"/>
    <col min="1795" max="1795" width="129.83203125" style="3" customWidth="1"/>
    <col min="1796" max="1797" width="10.83203125" style="3"/>
    <col min="1798" max="1798" width="54.83203125" style="3" customWidth="1"/>
    <col min="1799" max="1806" width="10.83203125" style="3"/>
    <col min="1807" max="1807" width="35.83203125" style="3" customWidth="1"/>
    <col min="1808" max="1808" width="20.1640625" style="3" customWidth="1"/>
    <col min="1809" max="1809" width="36.5" style="3" customWidth="1"/>
    <col min="1810" max="1810" width="28.6640625" style="3" customWidth="1"/>
    <col min="1811" max="1811" width="27" style="3" customWidth="1"/>
    <col min="1812" max="2048" width="10.83203125" style="3"/>
    <col min="2049" max="2049" width="28" style="3" customWidth="1"/>
    <col min="2050" max="2050" width="43.5" style="3" customWidth="1"/>
    <col min="2051" max="2051" width="129.83203125" style="3" customWidth="1"/>
    <col min="2052" max="2053" width="10.83203125" style="3"/>
    <col min="2054" max="2054" width="54.83203125" style="3" customWidth="1"/>
    <col min="2055" max="2062" width="10.83203125" style="3"/>
    <col min="2063" max="2063" width="35.83203125" style="3" customWidth="1"/>
    <col min="2064" max="2064" width="20.1640625" style="3" customWidth="1"/>
    <col min="2065" max="2065" width="36.5" style="3" customWidth="1"/>
    <col min="2066" max="2066" width="28.6640625" style="3" customWidth="1"/>
    <col min="2067" max="2067" width="27" style="3" customWidth="1"/>
    <col min="2068" max="2304" width="10.83203125" style="3"/>
    <col min="2305" max="2305" width="28" style="3" customWidth="1"/>
    <col min="2306" max="2306" width="43.5" style="3" customWidth="1"/>
    <col min="2307" max="2307" width="129.83203125" style="3" customWidth="1"/>
    <col min="2308" max="2309" width="10.83203125" style="3"/>
    <col min="2310" max="2310" width="54.83203125" style="3" customWidth="1"/>
    <col min="2311" max="2318" width="10.83203125" style="3"/>
    <col min="2319" max="2319" width="35.83203125" style="3" customWidth="1"/>
    <col min="2320" max="2320" width="20.1640625" style="3" customWidth="1"/>
    <col min="2321" max="2321" width="36.5" style="3" customWidth="1"/>
    <col min="2322" max="2322" width="28.6640625" style="3" customWidth="1"/>
    <col min="2323" max="2323" width="27" style="3" customWidth="1"/>
    <col min="2324" max="2560" width="10.83203125" style="3"/>
    <col min="2561" max="2561" width="28" style="3" customWidth="1"/>
    <col min="2562" max="2562" width="43.5" style="3" customWidth="1"/>
    <col min="2563" max="2563" width="129.83203125" style="3" customWidth="1"/>
    <col min="2564" max="2565" width="10.83203125" style="3"/>
    <col min="2566" max="2566" width="54.83203125" style="3" customWidth="1"/>
    <col min="2567" max="2574" width="10.83203125" style="3"/>
    <col min="2575" max="2575" width="35.83203125" style="3" customWidth="1"/>
    <col min="2576" max="2576" width="20.1640625" style="3" customWidth="1"/>
    <col min="2577" max="2577" width="36.5" style="3" customWidth="1"/>
    <col min="2578" max="2578" width="28.6640625" style="3" customWidth="1"/>
    <col min="2579" max="2579" width="27" style="3" customWidth="1"/>
    <col min="2580" max="2816" width="10.83203125" style="3"/>
    <col min="2817" max="2817" width="28" style="3" customWidth="1"/>
    <col min="2818" max="2818" width="43.5" style="3" customWidth="1"/>
    <col min="2819" max="2819" width="129.83203125" style="3" customWidth="1"/>
    <col min="2820" max="2821" width="10.83203125" style="3"/>
    <col min="2822" max="2822" width="54.83203125" style="3" customWidth="1"/>
    <col min="2823" max="2830" width="10.83203125" style="3"/>
    <col min="2831" max="2831" width="35.83203125" style="3" customWidth="1"/>
    <col min="2832" max="2832" width="20.1640625" style="3" customWidth="1"/>
    <col min="2833" max="2833" width="36.5" style="3" customWidth="1"/>
    <col min="2834" max="2834" width="28.6640625" style="3" customWidth="1"/>
    <col min="2835" max="2835" width="27" style="3" customWidth="1"/>
    <col min="2836" max="3072" width="10.83203125" style="3"/>
    <col min="3073" max="3073" width="28" style="3" customWidth="1"/>
    <col min="3074" max="3074" width="43.5" style="3" customWidth="1"/>
    <col min="3075" max="3075" width="129.83203125" style="3" customWidth="1"/>
    <col min="3076" max="3077" width="10.83203125" style="3"/>
    <col min="3078" max="3078" width="54.83203125" style="3" customWidth="1"/>
    <col min="3079" max="3086" width="10.83203125" style="3"/>
    <col min="3087" max="3087" width="35.83203125" style="3" customWidth="1"/>
    <col min="3088" max="3088" width="20.1640625" style="3" customWidth="1"/>
    <col min="3089" max="3089" width="36.5" style="3" customWidth="1"/>
    <col min="3090" max="3090" width="28.6640625" style="3" customWidth="1"/>
    <col min="3091" max="3091" width="27" style="3" customWidth="1"/>
    <col min="3092" max="3328" width="10.83203125" style="3"/>
    <col min="3329" max="3329" width="28" style="3" customWidth="1"/>
    <col min="3330" max="3330" width="43.5" style="3" customWidth="1"/>
    <col min="3331" max="3331" width="129.83203125" style="3" customWidth="1"/>
    <col min="3332" max="3333" width="10.83203125" style="3"/>
    <col min="3334" max="3334" width="54.83203125" style="3" customWidth="1"/>
    <col min="3335" max="3342" width="10.83203125" style="3"/>
    <col min="3343" max="3343" width="35.83203125" style="3" customWidth="1"/>
    <col min="3344" max="3344" width="20.1640625" style="3" customWidth="1"/>
    <col min="3345" max="3345" width="36.5" style="3" customWidth="1"/>
    <col min="3346" max="3346" width="28.6640625" style="3" customWidth="1"/>
    <col min="3347" max="3347" width="27" style="3" customWidth="1"/>
    <col min="3348" max="3584" width="10.83203125" style="3"/>
    <col min="3585" max="3585" width="28" style="3" customWidth="1"/>
    <col min="3586" max="3586" width="43.5" style="3" customWidth="1"/>
    <col min="3587" max="3587" width="129.83203125" style="3" customWidth="1"/>
    <col min="3588" max="3589" width="10.83203125" style="3"/>
    <col min="3590" max="3590" width="54.83203125" style="3" customWidth="1"/>
    <col min="3591" max="3598" width="10.83203125" style="3"/>
    <col min="3599" max="3599" width="35.83203125" style="3" customWidth="1"/>
    <col min="3600" max="3600" width="20.1640625" style="3" customWidth="1"/>
    <col min="3601" max="3601" width="36.5" style="3" customWidth="1"/>
    <col min="3602" max="3602" width="28.6640625" style="3" customWidth="1"/>
    <col min="3603" max="3603" width="27" style="3" customWidth="1"/>
    <col min="3604" max="3840" width="10.83203125" style="3"/>
    <col min="3841" max="3841" width="28" style="3" customWidth="1"/>
    <col min="3842" max="3842" width="43.5" style="3" customWidth="1"/>
    <col min="3843" max="3843" width="129.83203125" style="3" customWidth="1"/>
    <col min="3844" max="3845" width="10.83203125" style="3"/>
    <col min="3846" max="3846" width="54.83203125" style="3" customWidth="1"/>
    <col min="3847" max="3854" width="10.83203125" style="3"/>
    <col min="3855" max="3855" width="35.83203125" style="3" customWidth="1"/>
    <col min="3856" max="3856" width="20.1640625" style="3" customWidth="1"/>
    <col min="3857" max="3857" width="36.5" style="3" customWidth="1"/>
    <col min="3858" max="3858" width="28.6640625" style="3" customWidth="1"/>
    <col min="3859" max="3859" width="27" style="3" customWidth="1"/>
    <col min="3860" max="4096" width="10.83203125" style="3"/>
    <col min="4097" max="4097" width="28" style="3" customWidth="1"/>
    <col min="4098" max="4098" width="43.5" style="3" customWidth="1"/>
    <col min="4099" max="4099" width="129.83203125" style="3" customWidth="1"/>
    <col min="4100" max="4101" width="10.83203125" style="3"/>
    <col min="4102" max="4102" width="54.83203125" style="3" customWidth="1"/>
    <col min="4103" max="4110" width="10.83203125" style="3"/>
    <col min="4111" max="4111" width="35.83203125" style="3" customWidth="1"/>
    <col min="4112" max="4112" width="20.1640625" style="3" customWidth="1"/>
    <col min="4113" max="4113" width="36.5" style="3" customWidth="1"/>
    <col min="4114" max="4114" width="28.6640625" style="3" customWidth="1"/>
    <col min="4115" max="4115" width="27" style="3" customWidth="1"/>
    <col min="4116" max="4352" width="10.83203125" style="3"/>
    <col min="4353" max="4353" width="28" style="3" customWidth="1"/>
    <col min="4354" max="4354" width="43.5" style="3" customWidth="1"/>
    <col min="4355" max="4355" width="129.83203125" style="3" customWidth="1"/>
    <col min="4356" max="4357" width="10.83203125" style="3"/>
    <col min="4358" max="4358" width="54.83203125" style="3" customWidth="1"/>
    <col min="4359" max="4366" width="10.83203125" style="3"/>
    <col min="4367" max="4367" width="35.83203125" style="3" customWidth="1"/>
    <col min="4368" max="4368" width="20.1640625" style="3" customWidth="1"/>
    <col min="4369" max="4369" width="36.5" style="3" customWidth="1"/>
    <col min="4370" max="4370" width="28.6640625" style="3" customWidth="1"/>
    <col min="4371" max="4371" width="27" style="3" customWidth="1"/>
    <col min="4372" max="4608" width="10.83203125" style="3"/>
    <col min="4609" max="4609" width="28" style="3" customWidth="1"/>
    <col min="4610" max="4610" width="43.5" style="3" customWidth="1"/>
    <col min="4611" max="4611" width="129.83203125" style="3" customWidth="1"/>
    <col min="4612" max="4613" width="10.83203125" style="3"/>
    <col min="4614" max="4614" width="54.83203125" style="3" customWidth="1"/>
    <col min="4615" max="4622" width="10.83203125" style="3"/>
    <col min="4623" max="4623" width="35.83203125" style="3" customWidth="1"/>
    <col min="4624" max="4624" width="20.1640625" style="3" customWidth="1"/>
    <col min="4625" max="4625" width="36.5" style="3" customWidth="1"/>
    <col min="4626" max="4626" width="28.6640625" style="3" customWidth="1"/>
    <col min="4627" max="4627" width="27" style="3" customWidth="1"/>
    <col min="4628" max="4864" width="10.83203125" style="3"/>
    <col min="4865" max="4865" width="28" style="3" customWidth="1"/>
    <col min="4866" max="4866" width="43.5" style="3" customWidth="1"/>
    <col min="4867" max="4867" width="129.83203125" style="3" customWidth="1"/>
    <col min="4868" max="4869" width="10.83203125" style="3"/>
    <col min="4870" max="4870" width="54.83203125" style="3" customWidth="1"/>
    <col min="4871" max="4878" width="10.83203125" style="3"/>
    <col min="4879" max="4879" width="35.83203125" style="3" customWidth="1"/>
    <col min="4880" max="4880" width="20.1640625" style="3" customWidth="1"/>
    <col min="4881" max="4881" width="36.5" style="3" customWidth="1"/>
    <col min="4882" max="4882" width="28.6640625" style="3" customWidth="1"/>
    <col min="4883" max="4883" width="27" style="3" customWidth="1"/>
    <col min="4884" max="5120" width="10.83203125" style="3"/>
    <col min="5121" max="5121" width="28" style="3" customWidth="1"/>
    <col min="5122" max="5122" width="43.5" style="3" customWidth="1"/>
    <col min="5123" max="5123" width="129.83203125" style="3" customWidth="1"/>
    <col min="5124" max="5125" width="10.83203125" style="3"/>
    <col min="5126" max="5126" width="54.83203125" style="3" customWidth="1"/>
    <col min="5127" max="5134" width="10.83203125" style="3"/>
    <col min="5135" max="5135" width="35.83203125" style="3" customWidth="1"/>
    <col min="5136" max="5136" width="20.1640625" style="3" customWidth="1"/>
    <col min="5137" max="5137" width="36.5" style="3" customWidth="1"/>
    <col min="5138" max="5138" width="28.6640625" style="3" customWidth="1"/>
    <col min="5139" max="5139" width="27" style="3" customWidth="1"/>
    <col min="5140" max="5376" width="10.83203125" style="3"/>
    <col min="5377" max="5377" width="28" style="3" customWidth="1"/>
    <col min="5378" max="5378" width="43.5" style="3" customWidth="1"/>
    <col min="5379" max="5379" width="129.83203125" style="3" customWidth="1"/>
    <col min="5380" max="5381" width="10.83203125" style="3"/>
    <col min="5382" max="5382" width="54.83203125" style="3" customWidth="1"/>
    <col min="5383" max="5390" width="10.83203125" style="3"/>
    <col min="5391" max="5391" width="35.83203125" style="3" customWidth="1"/>
    <col min="5392" max="5392" width="20.1640625" style="3" customWidth="1"/>
    <col min="5393" max="5393" width="36.5" style="3" customWidth="1"/>
    <col min="5394" max="5394" width="28.6640625" style="3" customWidth="1"/>
    <col min="5395" max="5395" width="27" style="3" customWidth="1"/>
    <col min="5396" max="5632" width="10.83203125" style="3"/>
    <col min="5633" max="5633" width="28" style="3" customWidth="1"/>
    <col min="5634" max="5634" width="43.5" style="3" customWidth="1"/>
    <col min="5635" max="5635" width="129.83203125" style="3" customWidth="1"/>
    <col min="5636" max="5637" width="10.83203125" style="3"/>
    <col min="5638" max="5638" width="54.83203125" style="3" customWidth="1"/>
    <col min="5639" max="5646" width="10.83203125" style="3"/>
    <col min="5647" max="5647" width="35.83203125" style="3" customWidth="1"/>
    <col min="5648" max="5648" width="20.1640625" style="3" customWidth="1"/>
    <col min="5649" max="5649" width="36.5" style="3" customWidth="1"/>
    <col min="5650" max="5650" width="28.6640625" style="3" customWidth="1"/>
    <col min="5651" max="5651" width="27" style="3" customWidth="1"/>
    <col min="5652" max="5888" width="10.83203125" style="3"/>
    <col min="5889" max="5889" width="28" style="3" customWidth="1"/>
    <col min="5890" max="5890" width="43.5" style="3" customWidth="1"/>
    <col min="5891" max="5891" width="129.83203125" style="3" customWidth="1"/>
    <col min="5892" max="5893" width="10.83203125" style="3"/>
    <col min="5894" max="5894" width="54.83203125" style="3" customWidth="1"/>
    <col min="5895" max="5902" width="10.83203125" style="3"/>
    <col min="5903" max="5903" width="35.83203125" style="3" customWidth="1"/>
    <col min="5904" max="5904" width="20.1640625" style="3" customWidth="1"/>
    <col min="5905" max="5905" width="36.5" style="3" customWidth="1"/>
    <col min="5906" max="5906" width="28.6640625" style="3" customWidth="1"/>
    <col min="5907" max="5907" width="27" style="3" customWidth="1"/>
    <col min="5908" max="6144" width="10.83203125" style="3"/>
    <col min="6145" max="6145" width="28" style="3" customWidth="1"/>
    <col min="6146" max="6146" width="43.5" style="3" customWidth="1"/>
    <col min="6147" max="6147" width="129.83203125" style="3" customWidth="1"/>
    <col min="6148" max="6149" width="10.83203125" style="3"/>
    <col min="6150" max="6150" width="54.83203125" style="3" customWidth="1"/>
    <col min="6151" max="6158" width="10.83203125" style="3"/>
    <col min="6159" max="6159" width="35.83203125" style="3" customWidth="1"/>
    <col min="6160" max="6160" width="20.1640625" style="3" customWidth="1"/>
    <col min="6161" max="6161" width="36.5" style="3" customWidth="1"/>
    <col min="6162" max="6162" width="28.6640625" style="3" customWidth="1"/>
    <col min="6163" max="6163" width="27" style="3" customWidth="1"/>
    <col min="6164" max="6400" width="10.83203125" style="3"/>
    <col min="6401" max="6401" width="28" style="3" customWidth="1"/>
    <col min="6402" max="6402" width="43.5" style="3" customWidth="1"/>
    <col min="6403" max="6403" width="129.83203125" style="3" customWidth="1"/>
    <col min="6404" max="6405" width="10.83203125" style="3"/>
    <col min="6406" max="6406" width="54.83203125" style="3" customWidth="1"/>
    <col min="6407" max="6414" width="10.83203125" style="3"/>
    <col min="6415" max="6415" width="35.83203125" style="3" customWidth="1"/>
    <col min="6416" max="6416" width="20.1640625" style="3" customWidth="1"/>
    <col min="6417" max="6417" width="36.5" style="3" customWidth="1"/>
    <col min="6418" max="6418" width="28.6640625" style="3" customWidth="1"/>
    <col min="6419" max="6419" width="27" style="3" customWidth="1"/>
    <col min="6420" max="6656" width="10.83203125" style="3"/>
    <col min="6657" max="6657" width="28" style="3" customWidth="1"/>
    <col min="6658" max="6658" width="43.5" style="3" customWidth="1"/>
    <col min="6659" max="6659" width="129.83203125" style="3" customWidth="1"/>
    <col min="6660" max="6661" width="10.83203125" style="3"/>
    <col min="6662" max="6662" width="54.83203125" style="3" customWidth="1"/>
    <col min="6663" max="6670" width="10.83203125" style="3"/>
    <col min="6671" max="6671" width="35.83203125" style="3" customWidth="1"/>
    <col min="6672" max="6672" width="20.1640625" style="3" customWidth="1"/>
    <col min="6673" max="6673" width="36.5" style="3" customWidth="1"/>
    <col min="6674" max="6674" width="28.6640625" style="3" customWidth="1"/>
    <col min="6675" max="6675" width="27" style="3" customWidth="1"/>
    <col min="6676" max="6912" width="10.83203125" style="3"/>
    <col min="6913" max="6913" width="28" style="3" customWidth="1"/>
    <col min="6914" max="6914" width="43.5" style="3" customWidth="1"/>
    <col min="6915" max="6915" width="129.83203125" style="3" customWidth="1"/>
    <col min="6916" max="6917" width="10.83203125" style="3"/>
    <col min="6918" max="6918" width="54.83203125" style="3" customWidth="1"/>
    <col min="6919" max="6926" width="10.83203125" style="3"/>
    <col min="6927" max="6927" width="35.83203125" style="3" customWidth="1"/>
    <col min="6928" max="6928" width="20.1640625" style="3" customWidth="1"/>
    <col min="6929" max="6929" width="36.5" style="3" customWidth="1"/>
    <col min="6930" max="6930" width="28.6640625" style="3" customWidth="1"/>
    <col min="6931" max="6931" width="27" style="3" customWidth="1"/>
    <col min="6932" max="7168" width="10.83203125" style="3"/>
    <col min="7169" max="7169" width="28" style="3" customWidth="1"/>
    <col min="7170" max="7170" width="43.5" style="3" customWidth="1"/>
    <col min="7171" max="7171" width="129.83203125" style="3" customWidth="1"/>
    <col min="7172" max="7173" width="10.83203125" style="3"/>
    <col min="7174" max="7174" width="54.83203125" style="3" customWidth="1"/>
    <col min="7175" max="7182" width="10.83203125" style="3"/>
    <col min="7183" max="7183" width="35.83203125" style="3" customWidth="1"/>
    <col min="7184" max="7184" width="20.1640625" style="3" customWidth="1"/>
    <col min="7185" max="7185" width="36.5" style="3" customWidth="1"/>
    <col min="7186" max="7186" width="28.6640625" style="3" customWidth="1"/>
    <col min="7187" max="7187" width="27" style="3" customWidth="1"/>
    <col min="7188" max="7424" width="10.83203125" style="3"/>
    <col min="7425" max="7425" width="28" style="3" customWidth="1"/>
    <col min="7426" max="7426" width="43.5" style="3" customWidth="1"/>
    <col min="7427" max="7427" width="129.83203125" style="3" customWidth="1"/>
    <col min="7428" max="7429" width="10.83203125" style="3"/>
    <col min="7430" max="7430" width="54.83203125" style="3" customWidth="1"/>
    <col min="7431" max="7438" width="10.83203125" style="3"/>
    <col min="7439" max="7439" width="35.83203125" style="3" customWidth="1"/>
    <col min="7440" max="7440" width="20.1640625" style="3" customWidth="1"/>
    <col min="7441" max="7441" width="36.5" style="3" customWidth="1"/>
    <col min="7442" max="7442" width="28.6640625" style="3" customWidth="1"/>
    <col min="7443" max="7443" width="27" style="3" customWidth="1"/>
    <col min="7444" max="7680" width="10.83203125" style="3"/>
    <col min="7681" max="7681" width="28" style="3" customWidth="1"/>
    <col min="7682" max="7682" width="43.5" style="3" customWidth="1"/>
    <col min="7683" max="7683" width="129.83203125" style="3" customWidth="1"/>
    <col min="7684" max="7685" width="10.83203125" style="3"/>
    <col min="7686" max="7686" width="54.83203125" style="3" customWidth="1"/>
    <col min="7687" max="7694" width="10.83203125" style="3"/>
    <col min="7695" max="7695" width="35.83203125" style="3" customWidth="1"/>
    <col min="7696" max="7696" width="20.1640625" style="3" customWidth="1"/>
    <col min="7697" max="7697" width="36.5" style="3" customWidth="1"/>
    <col min="7698" max="7698" width="28.6640625" style="3" customWidth="1"/>
    <col min="7699" max="7699" width="27" style="3" customWidth="1"/>
    <col min="7700" max="7936" width="10.83203125" style="3"/>
    <col min="7937" max="7937" width="28" style="3" customWidth="1"/>
    <col min="7938" max="7938" width="43.5" style="3" customWidth="1"/>
    <col min="7939" max="7939" width="129.83203125" style="3" customWidth="1"/>
    <col min="7940" max="7941" width="10.83203125" style="3"/>
    <col min="7942" max="7942" width="54.83203125" style="3" customWidth="1"/>
    <col min="7943" max="7950" width="10.83203125" style="3"/>
    <col min="7951" max="7951" width="35.83203125" style="3" customWidth="1"/>
    <col min="7952" max="7952" width="20.1640625" style="3" customWidth="1"/>
    <col min="7953" max="7953" width="36.5" style="3" customWidth="1"/>
    <col min="7954" max="7954" width="28.6640625" style="3" customWidth="1"/>
    <col min="7955" max="7955" width="27" style="3" customWidth="1"/>
    <col min="7956" max="8192" width="10.83203125" style="3"/>
    <col min="8193" max="8193" width="28" style="3" customWidth="1"/>
    <col min="8194" max="8194" width="43.5" style="3" customWidth="1"/>
    <col min="8195" max="8195" width="129.83203125" style="3" customWidth="1"/>
    <col min="8196" max="8197" width="10.83203125" style="3"/>
    <col min="8198" max="8198" width="54.83203125" style="3" customWidth="1"/>
    <col min="8199" max="8206" width="10.83203125" style="3"/>
    <col min="8207" max="8207" width="35.83203125" style="3" customWidth="1"/>
    <col min="8208" max="8208" width="20.1640625" style="3" customWidth="1"/>
    <col min="8209" max="8209" width="36.5" style="3" customWidth="1"/>
    <col min="8210" max="8210" width="28.6640625" style="3" customWidth="1"/>
    <col min="8211" max="8211" width="27" style="3" customWidth="1"/>
    <col min="8212" max="8448" width="10.83203125" style="3"/>
    <col min="8449" max="8449" width="28" style="3" customWidth="1"/>
    <col min="8450" max="8450" width="43.5" style="3" customWidth="1"/>
    <col min="8451" max="8451" width="129.83203125" style="3" customWidth="1"/>
    <col min="8452" max="8453" width="10.83203125" style="3"/>
    <col min="8454" max="8454" width="54.83203125" style="3" customWidth="1"/>
    <col min="8455" max="8462" width="10.83203125" style="3"/>
    <col min="8463" max="8463" width="35.83203125" style="3" customWidth="1"/>
    <col min="8464" max="8464" width="20.1640625" style="3" customWidth="1"/>
    <col min="8465" max="8465" width="36.5" style="3" customWidth="1"/>
    <col min="8466" max="8466" width="28.6640625" style="3" customWidth="1"/>
    <col min="8467" max="8467" width="27" style="3" customWidth="1"/>
    <col min="8468" max="8704" width="10.83203125" style="3"/>
    <col min="8705" max="8705" width="28" style="3" customWidth="1"/>
    <col min="8706" max="8706" width="43.5" style="3" customWidth="1"/>
    <col min="8707" max="8707" width="129.83203125" style="3" customWidth="1"/>
    <col min="8708" max="8709" width="10.83203125" style="3"/>
    <col min="8710" max="8710" width="54.83203125" style="3" customWidth="1"/>
    <col min="8711" max="8718" width="10.83203125" style="3"/>
    <col min="8719" max="8719" width="35.83203125" style="3" customWidth="1"/>
    <col min="8720" max="8720" width="20.1640625" style="3" customWidth="1"/>
    <col min="8721" max="8721" width="36.5" style="3" customWidth="1"/>
    <col min="8722" max="8722" width="28.6640625" style="3" customWidth="1"/>
    <col min="8723" max="8723" width="27" style="3" customWidth="1"/>
    <col min="8724" max="8960" width="10.83203125" style="3"/>
    <col min="8961" max="8961" width="28" style="3" customWidth="1"/>
    <col min="8962" max="8962" width="43.5" style="3" customWidth="1"/>
    <col min="8963" max="8963" width="129.83203125" style="3" customWidth="1"/>
    <col min="8964" max="8965" width="10.83203125" style="3"/>
    <col min="8966" max="8966" width="54.83203125" style="3" customWidth="1"/>
    <col min="8967" max="8974" width="10.83203125" style="3"/>
    <col min="8975" max="8975" width="35.83203125" style="3" customWidth="1"/>
    <col min="8976" max="8976" width="20.1640625" style="3" customWidth="1"/>
    <col min="8977" max="8977" width="36.5" style="3" customWidth="1"/>
    <col min="8978" max="8978" width="28.6640625" style="3" customWidth="1"/>
    <col min="8979" max="8979" width="27" style="3" customWidth="1"/>
    <col min="8980" max="9216" width="10.83203125" style="3"/>
    <col min="9217" max="9217" width="28" style="3" customWidth="1"/>
    <col min="9218" max="9218" width="43.5" style="3" customWidth="1"/>
    <col min="9219" max="9219" width="129.83203125" style="3" customWidth="1"/>
    <col min="9220" max="9221" width="10.83203125" style="3"/>
    <col min="9222" max="9222" width="54.83203125" style="3" customWidth="1"/>
    <col min="9223" max="9230" width="10.83203125" style="3"/>
    <col min="9231" max="9231" width="35.83203125" style="3" customWidth="1"/>
    <col min="9232" max="9232" width="20.1640625" style="3" customWidth="1"/>
    <col min="9233" max="9233" width="36.5" style="3" customWidth="1"/>
    <col min="9234" max="9234" width="28.6640625" style="3" customWidth="1"/>
    <col min="9235" max="9235" width="27" style="3" customWidth="1"/>
    <col min="9236" max="9472" width="10.83203125" style="3"/>
    <col min="9473" max="9473" width="28" style="3" customWidth="1"/>
    <col min="9474" max="9474" width="43.5" style="3" customWidth="1"/>
    <col min="9475" max="9475" width="129.83203125" style="3" customWidth="1"/>
    <col min="9476" max="9477" width="10.83203125" style="3"/>
    <col min="9478" max="9478" width="54.83203125" style="3" customWidth="1"/>
    <col min="9479" max="9486" width="10.83203125" style="3"/>
    <col min="9487" max="9487" width="35.83203125" style="3" customWidth="1"/>
    <col min="9488" max="9488" width="20.1640625" style="3" customWidth="1"/>
    <col min="9489" max="9489" width="36.5" style="3" customWidth="1"/>
    <col min="9490" max="9490" width="28.6640625" style="3" customWidth="1"/>
    <col min="9491" max="9491" width="27" style="3" customWidth="1"/>
    <col min="9492" max="9728" width="10.83203125" style="3"/>
    <col min="9729" max="9729" width="28" style="3" customWidth="1"/>
    <col min="9730" max="9730" width="43.5" style="3" customWidth="1"/>
    <col min="9731" max="9731" width="129.83203125" style="3" customWidth="1"/>
    <col min="9732" max="9733" width="10.83203125" style="3"/>
    <col min="9734" max="9734" width="54.83203125" style="3" customWidth="1"/>
    <col min="9735" max="9742" width="10.83203125" style="3"/>
    <col min="9743" max="9743" width="35.83203125" style="3" customWidth="1"/>
    <col min="9744" max="9744" width="20.1640625" style="3" customWidth="1"/>
    <col min="9745" max="9745" width="36.5" style="3" customWidth="1"/>
    <col min="9746" max="9746" width="28.6640625" style="3" customWidth="1"/>
    <col min="9747" max="9747" width="27" style="3" customWidth="1"/>
    <col min="9748" max="9984" width="10.83203125" style="3"/>
    <col min="9985" max="9985" width="28" style="3" customWidth="1"/>
    <col min="9986" max="9986" width="43.5" style="3" customWidth="1"/>
    <col min="9987" max="9987" width="129.83203125" style="3" customWidth="1"/>
    <col min="9988" max="9989" width="10.83203125" style="3"/>
    <col min="9990" max="9990" width="54.83203125" style="3" customWidth="1"/>
    <col min="9991" max="9998" width="10.83203125" style="3"/>
    <col min="9999" max="9999" width="35.83203125" style="3" customWidth="1"/>
    <col min="10000" max="10000" width="20.1640625" style="3" customWidth="1"/>
    <col min="10001" max="10001" width="36.5" style="3" customWidth="1"/>
    <col min="10002" max="10002" width="28.6640625" style="3" customWidth="1"/>
    <col min="10003" max="10003" width="27" style="3" customWidth="1"/>
    <col min="10004" max="10240" width="10.83203125" style="3"/>
    <col min="10241" max="10241" width="28" style="3" customWidth="1"/>
    <col min="10242" max="10242" width="43.5" style="3" customWidth="1"/>
    <col min="10243" max="10243" width="129.83203125" style="3" customWidth="1"/>
    <col min="10244" max="10245" width="10.83203125" style="3"/>
    <col min="10246" max="10246" width="54.83203125" style="3" customWidth="1"/>
    <col min="10247" max="10254" width="10.83203125" style="3"/>
    <col min="10255" max="10255" width="35.83203125" style="3" customWidth="1"/>
    <col min="10256" max="10256" width="20.1640625" style="3" customWidth="1"/>
    <col min="10257" max="10257" width="36.5" style="3" customWidth="1"/>
    <col min="10258" max="10258" width="28.6640625" style="3" customWidth="1"/>
    <col min="10259" max="10259" width="27" style="3" customWidth="1"/>
    <col min="10260" max="10496" width="10.83203125" style="3"/>
    <col min="10497" max="10497" width="28" style="3" customWidth="1"/>
    <col min="10498" max="10498" width="43.5" style="3" customWidth="1"/>
    <col min="10499" max="10499" width="129.83203125" style="3" customWidth="1"/>
    <col min="10500" max="10501" width="10.83203125" style="3"/>
    <col min="10502" max="10502" width="54.83203125" style="3" customWidth="1"/>
    <col min="10503" max="10510" width="10.83203125" style="3"/>
    <col min="10511" max="10511" width="35.83203125" style="3" customWidth="1"/>
    <col min="10512" max="10512" width="20.1640625" style="3" customWidth="1"/>
    <col min="10513" max="10513" width="36.5" style="3" customWidth="1"/>
    <col min="10514" max="10514" width="28.6640625" style="3" customWidth="1"/>
    <col min="10515" max="10515" width="27" style="3" customWidth="1"/>
    <col min="10516" max="10752" width="10.83203125" style="3"/>
    <col min="10753" max="10753" width="28" style="3" customWidth="1"/>
    <col min="10754" max="10754" width="43.5" style="3" customWidth="1"/>
    <col min="10755" max="10755" width="129.83203125" style="3" customWidth="1"/>
    <col min="10756" max="10757" width="10.83203125" style="3"/>
    <col min="10758" max="10758" width="54.83203125" style="3" customWidth="1"/>
    <col min="10759" max="10766" width="10.83203125" style="3"/>
    <col min="10767" max="10767" width="35.83203125" style="3" customWidth="1"/>
    <col min="10768" max="10768" width="20.1640625" style="3" customWidth="1"/>
    <col min="10769" max="10769" width="36.5" style="3" customWidth="1"/>
    <col min="10770" max="10770" width="28.6640625" style="3" customWidth="1"/>
    <col min="10771" max="10771" width="27" style="3" customWidth="1"/>
    <col min="10772" max="11008" width="10.83203125" style="3"/>
    <col min="11009" max="11009" width="28" style="3" customWidth="1"/>
    <col min="11010" max="11010" width="43.5" style="3" customWidth="1"/>
    <col min="11011" max="11011" width="129.83203125" style="3" customWidth="1"/>
    <col min="11012" max="11013" width="10.83203125" style="3"/>
    <col min="11014" max="11014" width="54.83203125" style="3" customWidth="1"/>
    <col min="11015" max="11022" width="10.83203125" style="3"/>
    <col min="11023" max="11023" width="35.83203125" style="3" customWidth="1"/>
    <col min="11024" max="11024" width="20.1640625" style="3" customWidth="1"/>
    <col min="11025" max="11025" width="36.5" style="3" customWidth="1"/>
    <col min="11026" max="11026" width="28.6640625" style="3" customWidth="1"/>
    <col min="11027" max="11027" width="27" style="3" customWidth="1"/>
    <col min="11028" max="11264" width="10.83203125" style="3"/>
    <col min="11265" max="11265" width="28" style="3" customWidth="1"/>
    <col min="11266" max="11266" width="43.5" style="3" customWidth="1"/>
    <col min="11267" max="11267" width="129.83203125" style="3" customWidth="1"/>
    <col min="11268" max="11269" width="10.83203125" style="3"/>
    <col min="11270" max="11270" width="54.83203125" style="3" customWidth="1"/>
    <col min="11271" max="11278" width="10.83203125" style="3"/>
    <col min="11279" max="11279" width="35.83203125" style="3" customWidth="1"/>
    <col min="11280" max="11280" width="20.1640625" style="3" customWidth="1"/>
    <col min="11281" max="11281" width="36.5" style="3" customWidth="1"/>
    <col min="11282" max="11282" width="28.6640625" style="3" customWidth="1"/>
    <col min="11283" max="11283" width="27" style="3" customWidth="1"/>
    <col min="11284" max="11520" width="10.83203125" style="3"/>
    <col min="11521" max="11521" width="28" style="3" customWidth="1"/>
    <col min="11522" max="11522" width="43.5" style="3" customWidth="1"/>
    <col min="11523" max="11523" width="129.83203125" style="3" customWidth="1"/>
    <col min="11524" max="11525" width="10.83203125" style="3"/>
    <col min="11526" max="11526" width="54.83203125" style="3" customWidth="1"/>
    <col min="11527" max="11534" width="10.83203125" style="3"/>
    <col min="11535" max="11535" width="35.83203125" style="3" customWidth="1"/>
    <col min="11536" max="11536" width="20.1640625" style="3" customWidth="1"/>
    <col min="11537" max="11537" width="36.5" style="3" customWidth="1"/>
    <col min="11538" max="11538" width="28.6640625" style="3" customWidth="1"/>
    <col min="11539" max="11539" width="27" style="3" customWidth="1"/>
    <col min="11540" max="11776" width="10.83203125" style="3"/>
    <col min="11777" max="11777" width="28" style="3" customWidth="1"/>
    <col min="11778" max="11778" width="43.5" style="3" customWidth="1"/>
    <col min="11779" max="11779" width="129.83203125" style="3" customWidth="1"/>
    <col min="11780" max="11781" width="10.83203125" style="3"/>
    <col min="11782" max="11782" width="54.83203125" style="3" customWidth="1"/>
    <col min="11783" max="11790" width="10.83203125" style="3"/>
    <col min="11791" max="11791" width="35.83203125" style="3" customWidth="1"/>
    <col min="11792" max="11792" width="20.1640625" style="3" customWidth="1"/>
    <col min="11793" max="11793" width="36.5" style="3" customWidth="1"/>
    <col min="11794" max="11794" width="28.6640625" style="3" customWidth="1"/>
    <col min="11795" max="11795" width="27" style="3" customWidth="1"/>
    <col min="11796" max="12032" width="10.83203125" style="3"/>
    <col min="12033" max="12033" width="28" style="3" customWidth="1"/>
    <col min="12034" max="12034" width="43.5" style="3" customWidth="1"/>
    <col min="12035" max="12035" width="129.83203125" style="3" customWidth="1"/>
    <col min="12036" max="12037" width="10.83203125" style="3"/>
    <col min="12038" max="12038" width="54.83203125" style="3" customWidth="1"/>
    <col min="12039" max="12046" width="10.83203125" style="3"/>
    <col min="12047" max="12047" width="35.83203125" style="3" customWidth="1"/>
    <col min="12048" max="12048" width="20.1640625" style="3" customWidth="1"/>
    <col min="12049" max="12049" width="36.5" style="3" customWidth="1"/>
    <col min="12050" max="12050" width="28.6640625" style="3" customWidth="1"/>
    <col min="12051" max="12051" width="27" style="3" customWidth="1"/>
    <col min="12052" max="12288" width="10.83203125" style="3"/>
    <col min="12289" max="12289" width="28" style="3" customWidth="1"/>
    <col min="12290" max="12290" width="43.5" style="3" customWidth="1"/>
    <col min="12291" max="12291" width="129.83203125" style="3" customWidth="1"/>
    <col min="12292" max="12293" width="10.83203125" style="3"/>
    <col min="12294" max="12294" width="54.83203125" style="3" customWidth="1"/>
    <col min="12295" max="12302" width="10.83203125" style="3"/>
    <col min="12303" max="12303" width="35.83203125" style="3" customWidth="1"/>
    <col min="12304" max="12304" width="20.1640625" style="3" customWidth="1"/>
    <col min="12305" max="12305" width="36.5" style="3" customWidth="1"/>
    <col min="12306" max="12306" width="28.6640625" style="3" customWidth="1"/>
    <col min="12307" max="12307" width="27" style="3" customWidth="1"/>
    <col min="12308" max="12544" width="10.83203125" style="3"/>
    <col min="12545" max="12545" width="28" style="3" customWidth="1"/>
    <col min="12546" max="12546" width="43.5" style="3" customWidth="1"/>
    <col min="12547" max="12547" width="129.83203125" style="3" customWidth="1"/>
    <col min="12548" max="12549" width="10.83203125" style="3"/>
    <col min="12550" max="12550" width="54.83203125" style="3" customWidth="1"/>
    <col min="12551" max="12558" width="10.83203125" style="3"/>
    <col min="12559" max="12559" width="35.83203125" style="3" customWidth="1"/>
    <col min="12560" max="12560" width="20.1640625" style="3" customWidth="1"/>
    <col min="12561" max="12561" width="36.5" style="3" customWidth="1"/>
    <col min="12562" max="12562" width="28.6640625" style="3" customWidth="1"/>
    <col min="12563" max="12563" width="27" style="3" customWidth="1"/>
    <col min="12564" max="12800" width="10.83203125" style="3"/>
    <col min="12801" max="12801" width="28" style="3" customWidth="1"/>
    <col min="12802" max="12802" width="43.5" style="3" customWidth="1"/>
    <col min="12803" max="12803" width="129.83203125" style="3" customWidth="1"/>
    <col min="12804" max="12805" width="10.83203125" style="3"/>
    <col min="12806" max="12806" width="54.83203125" style="3" customWidth="1"/>
    <col min="12807" max="12814" width="10.83203125" style="3"/>
    <col min="12815" max="12815" width="35.83203125" style="3" customWidth="1"/>
    <col min="12816" max="12816" width="20.1640625" style="3" customWidth="1"/>
    <col min="12817" max="12817" width="36.5" style="3" customWidth="1"/>
    <col min="12818" max="12818" width="28.6640625" style="3" customWidth="1"/>
    <col min="12819" max="12819" width="27" style="3" customWidth="1"/>
    <col min="12820" max="13056" width="10.83203125" style="3"/>
    <col min="13057" max="13057" width="28" style="3" customWidth="1"/>
    <col min="13058" max="13058" width="43.5" style="3" customWidth="1"/>
    <col min="13059" max="13059" width="129.83203125" style="3" customWidth="1"/>
    <col min="13060" max="13061" width="10.83203125" style="3"/>
    <col min="13062" max="13062" width="54.83203125" style="3" customWidth="1"/>
    <col min="13063" max="13070" width="10.83203125" style="3"/>
    <col min="13071" max="13071" width="35.83203125" style="3" customWidth="1"/>
    <col min="13072" max="13072" width="20.1640625" style="3" customWidth="1"/>
    <col min="13073" max="13073" width="36.5" style="3" customWidth="1"/>
    <col min="13074" max="13074" width="28.6640625" style="3" customWidth="1"/>
    <col min="13075" max="13075" width="27" style="3" customWidth="1"/>
    <col min="13076" max="13312" width="10.83203125" style="3"/>
    <col min="13313" max="13313" width="28" style="3" customWidth="1"/>
    <col min="13314" max="13314" width="43.5" style="3" customWidth="1"/>
    <col min="13315" max="13315" width="129.83203125" style="3" customWidth="1"/>
    <col min="13316" max="13317" width="10.83203125" style="3"/>
    <col min="13318" max="13318" width="54.83203125" style="3" customWidth="1"/>
    <col min="13319" max="13326" width="10.83203125" style="3"/>
    <col min="13327" max="13327" width="35.83203125" style="3" customWidth="1"/>
    <col min="13328" max="13328" width="20.1640625" style="3" customWidth="1"/>
    <col min="13329" max="13329" width="36.5" style="3" customWidth="1"/>
    <col min="13330" max="13330" width="28.6640625" style="3" customWidth="1"/>
    <col min="13331" max="13331" width="27" style="3" customWidth="1"/>
    <col min="13332" max="13568" width="10.83203125" style="3"/>
    <col min="13569" max="13569" width="28" style="3" customWidth="1"/>
    <col min="13570" max="13570" width="43.5" style="3" customWidth="1"/>
    <col min="13571" max="13571" width="129.83203125" style="3" customWidth="1"/>
    <col min="13572" max="13573" width="10.83203125" style="3"/>
    <col min="13574" max="13574" width="54.83203125" style="3" customWidth="1"/>
    <col min="13575" max="13582" width="10.83203125" style="3"/>
    <col min="13583" max="13583" width="35.83203125" style="3" customWidth="1"/>
    <col min="13584" max="13584" width="20.1640625" style="3" customWidth="1"/>
    <col min="13585" max="13585" width="36.5" style="3" customWidth="1"/>
    <col min="13586" max="13586" width="28.6640625" style="3" customWidth="1"/>
    <col min="13587" max="13587" width="27" style="3" customWidth="1"/>
    <col min="13588" max="13824" width="10.83203125" style="3"/>
    <col min="13825" max="13825" width="28" style="3" customWidth="1"/>
    <col min="13826" max="13826" width="43.5" style="3" customWidth="1"/>
    <col min="13827" max="13827" width="129.83203125" style="3" customWidth="1"/>
    <col min="13828" max="13829" width="10.83203125" style="3"/>
    <col min="13830" max="13830" width="54.83203125" style="3" customWidth="1"/>
    <col min="13831" max="13838" width="10.83203125" style="3"/>
    <col min="13839" max="13839" width="35.83203125" style="3" customWidth="1"/>
    <col min="13840" max="13840" width="20.1640625" style="3" customWidth="1"/>
    <col min="13841" max="13841" width="36.5" style="3" customWidth="1"/>
    <col min="13842" max="13842" width="28.6640625" style="3" customWidth="1"/>
    <col min="13843" max="13843" width="27" style="3" customWidth="1"/>
    <col min="13844" max="14080" width="10.83203125" style="3"/>
    <col min="14081" max="14081" width="28" style="3" customWidth="1"/>
    <col min="14082" max="14082" width="43.5" style="3" customWidth="1"/>
    <col min="14083" max="14083" width="129.83203125" style="3" customWidth="1"/>
    <col min="14084" max="14085" width="10.83203125" style="3"/>
    <col min="14086" max="14086" width="54.83203125" style="3" customWidth="1"/>
    <col min="14087" max="14094" width="10.83203125" style="3"/>
    <col min="14095" max="14095" width="35.83203125" style="3" customWidth="1"/>
    <col min="14096" max="14096" width="20.1640625" style="3" customWidth="1"/>
    <col min="14097" max="14097" width="36.5" style="3" customWidth="1"/>
    <col min="14098" max="14098" width="28.6640625" style="3" customWidth="1"/>
    <col min="14099" max="14099" width="27" style="3" customWidth="1"/>
    <col min="14100" max="14336" width="10.83203125" style="3"/>
    <col min="14337" max="14337" width="28" style="3" customWidth="1"/>
    <col min="14338" max="14338" width="43.5" style="3" customWidth="1"/>
    <col min="14339" max="14339" width="129.83203125" style="3" customWidth="1"/>
    <col min="14340" max="14341" width="10.83203125" style="3"/>
    <col min="14342" max="14342" width="54.83203125" style="3" customWidth="1"/>
    <col min="14343" max="14350" width="10.83203125" style="3"/>
    <col min="14351" max="14351" width="35.83203125" style="3" customWidth="1"/>
    <col min="14352" max="14352" width="20.1640625" style="3" customWidth="1"/>
    <col min="14353" max="14353" width="36.5" style="3" customWidth="1"/>
    <col min="14354" max="14354" width="28.6640625" style="3" customWidth="1"/>
    <col min="14355" max="14355" width="27" style="3" customWidth="1"/>
    <col min="14356" max="14592" width="10.83203125" style="3"/>
    <col min="14593" max="14593" width="28" style="3" customWidth="1"/>
    <col min="14594" max="14594" width="43.5" style="3" customWidth="1"/>
    <col min="14595" max="14595" width="129.83203125" style="3" customWidth="1"/>
    <col min="14596" max="14597" width="10.83203125" style="3"/>
    <col min="14598" max="14598" width="54.83203125" style="3" customWidth="1"/>
    <col min="14599" max="14606" width="10.83203125" style="3"/>
    <col min="14607" max="14607" width="35.83203125" style="3" customWidth="1"/>
    <col min="14608" max="14608" width="20.1640625" style="3" customWidth="1"/>
    <col min="14609" max="14609" width="36.5" style="3" customWidth="1"/>
    <col min="14610" max="14610" width="28.6640625" style="3" customWidth="1"/>
    <col min="14611" max="14611" width="27" style="3" customWidth="1"/>
    <col min="14612" max="14848" width="10.83203125" style="3"/>
    <col min="14849" max="14849" width="28" style="3" customWidth="1"/>
    <col min="14850" max="14850" width="43.5" style="3" customWidth="1"/>
    <col min="14851" max="14851" width="129.83203125" style="3" customWidth="1"/>
    <col min="14852" max="14853" width="10.83203125" style="3"/>
    <col min="14854" max="14854" width="54.83203125" style="3" customWidth="1"/>
    <col min="14855" max="14862" width="10.83203125" style="3"/>
    <col min="14863" max="14863" width="35.83203125" style="3" customWidth="1"/>
    <col min="14864" max="14864" width="20.1640625" style="3" customWidth="1"/>
    <col min="14865" max="14865" width="36.5" style="3" customWidth="1"/>
    <col min="14866" max="14866" width="28.6640625" style="3" customWidth="1"/>
    <col min="14867" max="14867" width="27" style="3" customWidth="1"/>
    <col min="14868" max="15104" width="10.83203125" style="3"/>
    <col min="15105" max="15105" width="28" style="3" customWidth="1"/>
    <col min="15106" max="15106" width="43.5" style="3" customWidth="1"/>
    <col min="15107" max="15107" width="129.83203125" style="3" customWidth="1"/>
    <col min="15108" max="15109" width="10.83203125" style="3"/>
    <col min="15110" max="15110" width="54.83203125" style="3" customWidth="1"/>
    <col min="15111" max="15118" width="10.83203125" style="3"/>
    <col min="15119" max="15119" width="35.83203125" style="3" customWidth="1"/>
    <col min="15120" max="15120" width="20.1640625" style="3" customWidth="1"/>
    <col min="15121" max="15121" width="36.5" style="3" customWidth="1"/>
    <col min="15122" max="15122" width="28.6640625" style="3" customWidth="1"/>
    <col min="15123" max="15123" width="27" style="3" customWidth="1"/>
    <col min="15124" max="15360" width="10.83203125" style="3"/>
    <col min="15361" max="15361" width="28" style="3" customWidth="1"/>
    <col min="15362" max="15362" width="43.5" style="3" customWidth="1"/>
    <col min="15363" max="15363" width="129.83203125" style="3" customWidth="1"/>
    <col min="15364" max="15365" width="10.83203125" style="3"/>
    <col min="15366" max="15366" width="54.83203125" style="3" customWidth="1"/>
    <col min="15367" max="15374" width="10.83203125" style="3"/>
    <col min="15375" max="15375" width="35.83203125" style="3" customWidth="1"/>
    <col min="15376" max="15376" width="20.1640625" style="3" customWidth="1"/>
    <col min="15377" max="15377" width="36.5" style="3" customWidth="1"/>
    <col min="15378" max="15378" width="28.6640625" style="3" customWidth="1"/>
    <col min="15379" max="15379" width="27" style="3" customWidth="1"/>
    <col min="15380" max="15616" width="10.83203125" style="3"/>
    <col min="15617" max="15617" width="28" style="3" customWidth="1"/>
    <col min="15618" max="15618" width="43.5" style="3" customWidth="1"/>
    <col min="15619" max="15619" width="129.83203125" style="3" customWidth="1"/>
    <col min="15620" max="15621" width="10.83203125" style="3"/>
    <col min="15622" max="15622" width="54.83203125" style="3" customWidth="1"/>
    <col min="15623" max="15630" width="10.83203125" style="3"/>
    <col min="15631" max="15631" width="35.83203125" style="3" customWidth="1"/>
    <col min="15632" max="15632" width="20.1640625" style="3" customWidth="1"/>
    <col min="15633" max="15633" width="36.5" style="3" customWidth="1"/>
    <col min="15634" max="15634" width="28.6640625" style="3" customWidth="1"/>
    <col min="15635" max="15635" width="27" style="3" customWidth="1"/>
    <col min="15636" max="15872" width="10.83203125" style="3"/>
    <col min="15873" max="15873" width="28" style="3" customWidth="1"/>
    <col min="15874" max="15874" width="43.5" style="3" customWidth="1"/>
    <col min="15875" max="15875" width="129.83203125" style="3" customWidth="1"/>
    <col min="15876" max="15877" width="10.83203125" style="3"/>
    <col min="15878" max="15878" width="54.83203125" style="3" customWidth="1"/>
    <col min="15879" max="15886" width="10.83203125" style="3"/>
    <col min="15887" max="15887" width="35.83203125" style="3" customWidth="1"/>
    <col min="15888" max="15888" width="20.1640625" style="3" customWidth="1"/>
    <col min="15889" max="15889" width="36.5" style="3" customWidth="1"/>
    <col min="15890" max="15890" width="28.6640625" style="3" customWidth="1"/>
    <col min="15891" max="15891" width="27" style="3" customWidth="1"/>
    <col min="15892" max="16128" width="10.83203125" style="3"/>
    <col min="16129" max="16129" width="28" style="3" customWidth="1"/>
    <col min="16130" max="16130" width="43.5" style="3" customWidth="1"/>
    <col min="16131" max="16131" width="129.83203125" style="3" customWidth="1"/>
    <col min="16132" max="16133" width="10.83203125" style="3"/>
    <col min="16134" max="16134" width="54.83203125" style="3" customWidth="1"/>
    <col min="16135" max="16142" width="10.83203125" style="3"/>
    <col min="16143" max="16143" width="35.83203125" style="3" customWidth="1"/>
    <col min="16144" max="16144" width="20.1640625" style="3" customWidth="1"/>
    <col min="16145" max="16145" width="36.5" style="3" customWidth="1"/>
    <col min="16146" max="16146" width="28.6640625" style="3" customWidth="1"/>
    <col min="16147" max="16147" width="27" style="3" customWidth="1"/>
    <col min="16148" max="16384" width="10.83203125" style="3"/>
  </cols>
  <sheetData>
    <row r="2" spans="1:20" ht="15" x14ac:dyDescent="0.2">
      <c r="A2" s="1" t="s">
        <v>13</v>
      </c>
      <c r="B2" s="1" t="s">
        <v>2</v>
      </c>
      <c r="C2" s="2" t="s">
        <v>14</v>
      </c>
      <c r="E2" s="31" t="s">
        <v>117</v>
      </c>
      <c r="F2" s="31" t="s">
        <v>15</v>
      </c>
      <c r="M2" s="3" t="s">
        <v>16</v>
      </c>
      <c r="O2" s="4" t="s">
        <v>2</v>
      </c>
      <c r="P2" s="5" t="s">
        <v>17</v>
      </c>
      <c r="Q2" s="5" t="s">
        <v>18</v>
      </c>
      <c r="R2" s="6" t="s">
        <v>19</v>
      </c>
      <c r="S2" s="7"/>
      <c r="T2" s="7"/>
    </row>
    <row r="3" spans="1:20" ht="15" x14ac:dyDescent="0.2">
      <c r="A3" s="201" t="s">
        <v>20</v>
      </c>
      <c r="B3" s="8" t="s">
        <v>21</v>
      </c>
      <c r="C3" s="9" t="s">
        <v>22</v>
      </c>
      <c r="E3" s="33" t="s">
        <v>25</v>
      </c>
      <c r="F3" s="12" t="s">
        <v>25</v>
      </c>
      <c r="M3" s="3" t="s">
        <v>24</v>
      </c>
      <c r="O3" s="10" t="s">
        <v>25</v>
      </c>
      <c r="P3" s="11" t="s">
        <v>26</v>
      </c>
      <c r="Q3" s="3" t="s">
        <v>27</v>
      </c>
      <c r="R3" s="10" t="s">
        <v>25</v>
      </c>
      <c r="S3" s="7"/>
      <c r="T3" s="7"/>
    </row>
    <row r="4" spans="1:20" s="34" customFormat="1" ht="15" x14ac:dyDescent="0.2">
      <c r="A4" s="201"/>
      <c r="B4" s="8" t="s">
        <v>21</v>
      </c>
      <c r="C4" s="9" t="s">
        <v>252</v>
      </c>
      <c r="E4" s="38" t="s">
        <v>115</v>
      </c>
      <c r="F4" s="35" t="s">
        <v>23</v>
      </c>
      <c r="O4" s="35" t="s">
        <v>21</v>
      </c>
      <c r="P4" s="36" t="s">
        <v>29</v>
      </c>
      <c r="Q4" s="34" t="s">
        <v>30</v>
      </c>
      <c r="R4" s="37" t="s">
        <v>31</v>
      </c>
      <c r="S4" s="7"/>
      <c r="T4" s="7"/>
    </row>
    <row r="5" spans="1:20" ht="15" x14ac:dyDescent="0.2">
      <c r="A5" s="201"/>
      <c r="B5" s="8" t="s">
        <v>21</v>
      </c>
      <c r="C5" s="9" t="s">
        <v>32</v>
      </c>
      <c r="E5" s="33" t="s">
        <v>114</v>
      </c>
      <c r="F5" s="12" t="s">
        <v>28</v>
      </c>
      <c r="M5" s="3" t="s">
        <v>34</v>
      </c>
      <c r="O5" s="12" t="s">
        <v>35</v>
      </c>
      <c r="P5" s="11" t="s">
        <v>36</v>
      </c>
      <c r="Q5" s="3" t="s">
        <v>37</v>
      </c>
      <c r="R5" s="13" t="s">
        <v>38</v>
      </c>
      <c r="S5" s="7"/>
      <c r="T5" s="7"/>
    </row>
    <row r="6" spans="1:20" ht="15" customHeight="1" x14ac:dyDescent="0.2">
      <c r="A6" s="201"/>
      <c r="B6" s="8" t="s">
        <v>21</v>
      </c>
      <c r="C6" s="9" t="s">
        <v>253</v>
      </c>
      <c r="E6" s="33" t="s">
        <v>116</v>
      </c>
      <c r="F6" s="12" t="s">
        <v>33</v>
      </c>
      <c r="M6" s="3" t="s">
        <v>40</v>
      </c>
      <c r="O6" s="12" t="s">
        <v>41</v>
      </c>
      <c r="P6" s="11" t="s">
        <v>42</v>
      </c>
      <c r="Q6" s="3" t="s">
        <v>43</v>
      </c>
      <c r="R6" s="13" t="s">
        <v>44</v>
      </c>
      <c r="S6" s="7"/>
      <c r="T6" s="7"/>
    </row>
    <row r="7" spans="1:20" ht="15" customHeight="1" x14ac:dyDescent="0.2">
      <c r="A7" s="201"/>
      <c r="B7" s="14" t="s">
        <v>35</v>
      </c>
      <c r="C7" s="15" t="s">
        <v>45</v>
      </c>
      <c r="E7" s="33" t="s">
        <v>34</v>
      </c>
      <c r="F7" s="12" t="s">
        <v>39</v>
      </c>
      <c r="O7" s="12" t="s">
        <v>46</v>
      </c>
      <c r="P7" s="11" t="s">
        <v>47</v>
      </c>
      <c r="Q7" s="3" t="s">
        <v>48</v>
      </c>
      <c r="R7" s="16"/>
      <c r="S7" s="7"/>
      <c r="T7" s="7"/>
    </row>
    <row r="8" spans="1:20" ht="15" customHeight="1" x14ac:dyDescent="0.2">
      <c r="A8" s="201"/>
      <c r="B8" s="14"/>
      <c r="C8" s="15" t="s">
        <v>49</v>
      </c>
      <c r="E8" s="33" t="s">
        <v>173</v>
      </c>
      <c r="F8" s="12" t="s">
        <v>50</v>
      </c>
      <c r="O8" s="12" t="s">
        <v>51</v>
      </c>
      <c r="P8" s="11" t="s">
        <v>52</v>
      </c>
      <c r="Q8" s="3" t="s">
        <v>256</v>
      </c>
      <c r="R8" s="16"/>
      <c r="S8" s="7"/>
      <c r="T8" s="7"/>
    </row>
    <row r="9" spans="1:20" ht="15" customHeight="1" x14ac:dyDescent="0.2">
      <c r="A9" s="201" t="s">
        <v>53</v>
      </c>
      <c r="B9" s="8" t="s">
        <v>41</v>
      </c>
      <c r="C9" s="9" t="s">
        <v>54</v>
      </c>
      <c r="E9" s="33"/>
      <c r="F9" s="12" t="s">
        <v>55</v>
      </c>
      <c r="O9" s="12" t="s">
        <v>56</v>
      </c>
      <c r="P9" s="11" t="s">
        <v>57</v>
      </c>
      <c r="Q9" s="3" t="s">
        <v>58</v>
      </c>
      <c r="R9" s="16"/>
      <c r="S9" s="7"/>
      <c r="T9" s="7"/>
    </row>
    <row r="10" spans="1:20" ht="15.75" customHeight="1" x14ac:dyDescent="0.2">
      <c r="A10" s="201"/>
      <c r="B10" s="8" t="s">
        <v>41</v>
      </c>
      <c r="C10" s="9" t="s">
        <v>59</v>
      </c>
      <c r="E10" s="33"/>
      <c r="F10" s="79" t="s">
        <v>308</v>
      </c>
      <c r="O10" s="12" t="s">
        <v>61</v>
      </c>
      <c r="P10" s="11" t="s">
        <v>62</v>
      </c>
      <c r="Q10" s="3" t="s">
        <v>63</v>
      </c>
      <c r="R10" s="16"/>
      <c r="S10" s="7"/>
      <c r="T10" s="7"/>
    </row>
    <row r="11" spans="1:20" ht="15" x14ac:dyDescent="0.2">
      <c r="A11" s="201"/>
      <c r="B11" s="8" t="s">
        <v>41</v>
      </c>
      <c r="C11" s="9" t="s">
        <v>64</v>
      </c>
      <c r="E11" s="33"/>
      <c r="F11" s="3" t="s">
        <v>60</v>
      </c>
      <c r="O11" s="12" t="s">
        <v>65</v>
      </c>
      <c r="P11" s="11" t="s">
        <v>66</v>
      </c>
      <c r="Q11" s="3" t="s">
        <v>67</v>
      </c>
      <c r="R11" s="16"/>
      <c r="S11" s="7"/>
      <c r="T11" s="7"/>
    </row>
    <row r="12" spans="1:20" ht="15" x14ac:dyDescent="0.2">
      <c r="A12" s="201"/>
      <c r="B12" s="14" t="s">
        <v>46</v>
      </c>
      <c r="C12" s="15" t="s">
        <v>68</v>
      </c>
      <c r="F12" s="3" t="s">
        <v>173</v>
      </c>
      <c r="O12" s="17" t="s">
        <v>69</v>
      </c>
      <c r="P12" s="11" t="s">
        <v>70</v>
      </c>
      <c r="Q12" s="3" t="s">
        <v>71</v>
      </c>
      <c r="R12" s="16"/>
      <c r="S12" s="7"/>
      <c r="T12" s="7"/>
    </row>
    <row r="13" spans="1:20" ht="37.5" customHeight="1" x14ac:dyDescent="0.2">
      <c r="A13" s="201"/>
      <c r="B13" s="14" t="s">
        <v>46</v>
      </c>
      <c r="C13" s="15" t="s">
        <v>72</v>
      </c>
      <c r="O13" s="47" t="s">
        <v>73</v>
      </c>
      <c r="P13" s="11"/>
      <c r="Q13" s="34" t="s">
        <v>74</v>
      </c>
      <c r="R13" s="16"/>
      <c r="S13" s="7"/>
      <c r="T13" s="7"/>
    </row>
    <row r="14" spans="1:20" ht="15" x14ac:dyDescent="0.2">
      <c r="A14" s="201"/>
      <c r="B14" s="14" t="s">
        <v>46</v>
      </c>
      <c r="C14" s="15" t="s">
        <v>75</v>
      </c>
      <c r="O14" s="17" t="s">
        <v>76</v>
      </c>
      <c r="P14" s="11"/>
      <c r="Q14" s="18"/>
      <c r="R14" s="16"/>
      <c r="S14" s="7"/>
      <c r="T14" s="7"/>
    </row>
    <row r="15" spans="1:20" ht="15" x14ac:dyDescent="0.2">
      <c r="A15" s="201"/>
      <c r="B15" s="14" t="s">
        <v>46</v>
      </c>
      <c r="C15" s="19" t="s">
        <v>254</v>
      </c>
      <c r="O15" s="17" t="s">
        <v>77</v>
      </c>
      <c r="P15" s="11"/>
      <c r="Q15" s="11"/>
      <c r="R15" s="20"/>
      <c r="S15" s="21"/>
      <c r="T15" s="21"/>
    </row>
    <row r="16" spans="1:20" ht="15" x14ac:dyDescent="0.2">
      <c r="A16" s="201"/>
      <c r="B16" s="14" t="s">
        <v>46</v>
      </c>
      <c r="C16" s="15" t="s">
        <v>78</v>
      </c>
      <c r="O16" s="17" t="s">
        <v>79</v>
      </c>
      <c r="P16" s="11"/>
      <c r="Q16" s="11"/>
      <c r="R16" s="20"/>
      <c r="S16" s="21"/>
      <c r="T16" s="21"/>
    </row>
    <row r="17" spans="1:20" ht="15" x14ac:dyDescent="0.2">
      <c r="A17" s="201"/>
      <c r="B17" s="14" t="s">
        <v>46</v>
      </c>
      <c r="C17" s="15" t="s">
        <v>80</v>
      </c>
      <c r="O17" s="17" t="s">
        <v>81</v>
      </c>
      <c r="P17" s="11"/>
      <c r="Q17" s="11"/>
      <c r="R17" s="20"/>
      <c r="S17" s="21"/>
      <c r="T17" s="21"/>
    </row>
    <row r="18" spans="1:20" ht="15" x14ac:dyDescent="0.15">
      <c r="A18" s="201"/>
      <c r="B18" s="14" t="s">
        <v>46</v>
      </c>
      <c r="C18" s="15" t="s">
        <v>82</v>
      </c>
    </row>
    <row r="19" spans="1:20" ht="15" x14ac:dyDescent="0.15">
      <c r="A19" s="201"/>
      <c r="B19" s="14" t="s">
        <v>46</v>
      </c>
      <c r="C19" s="15" t="s">
        <v>83</v>
      </c>
    </row>
    <row r="20" spans="1:20" ht="15" x14ac:dyDescent="0.15">
      <c r="A20" s="201"/>
      <c r="B20" s="8" t="s">
        <v>51</v>
      </c>
      <c r="C20" s="9" t="s">
        <v>84</v>
      </c>
    </row>
    <row r="21" spans="1:20" ht="15" x14ac:dyDescent="0.15">
      <c r="A21" s="201"/>
      <c r="B21" s="8" t="s">
        <v>51</v>
      </c>
      <c r="C21" s="9" t="s">
        <v>85</v>
      </c>
    </row>
    <row r="22" spans="1:20" ht="15" x14ac:dyDescent="0.15">
      <c r="A22" s="201"/>
      <c r="B22" s="8" t="s">
        <v>51</v>
      </c>
      <c r="C22" s="9" t="s">
        <v>86</v>
      </c>
    </row>
    <row r="23" spans="1:20" ht="15" x14ac:dyDescent="0.15">
      <c r="A23" s="201"/>
      <c r="B23" s="8"/>
      <c r="C23" s="9" t="s">
        <v>49</v>
      </c>
      <c r="E23" s="31" t="s">
        <v>0</v>
      </c>
      <c r="F23" s="31" t="s">
        <v>1</v>
      </c>
    </row>
    <row r="24" spans="1:20" ht="15" x14ac:dyDescent="0.15">
      <c r="A24" s="201" t="s">
        <v>87</v>
      </c>
      <c r="B24" s="14" t="s">
        <v>56</v>
      </c>
      <c r="C24" s="22" t="s">
        <v>22</v>
      </c>
      <c r="E24" s="3" t="s">
        <v>25</v>
      </c>
      <c r="F24" s="3" t="s">
        <v>25</v>
      </c>
      <c r="O24" s="31" t="s">
        <v>106</v>
      </c>
      <c r="P24" s="31" t="s">
        <v>3</v>
      </c>
    </row>
    <row r="25" spans="1:20" ht="56.25" customHeight="1" x14ac:dyDescent="0.15">
      <c r="A25" s="201"/>
      <c r="B25" s="14" t="s">
        <v>56</v>
      </c>
      <c r="C25" s="23" t="s">
        <v>252</v>
      </c>
      <c r="E25" s="39" t="s">
        <v>162</v>
      </c>
      <c r="F25" s="34" t="s">
        <v>168</v>
      </c>
      <c r="M25" s="32"/>
      <c r="O25" s="34" t="s">
        <v>25</v>
      </c>
      <c r="P25" s="34" t="s">
        <v>110</v>
      </c>
    </row>
    <row r="26" spans="1:20" ht="65" x14ac:dyDescent="0.15">
      <c r="A26" s="201"/>
      <c r="B26" s="14" t="s">
        <v>56</v>
      </c>
      <c r="C26" s="23" t="s">
        <v>88</v>
      </c>
      <c r="E26" s="39" t="s">
        <v>163</v>
      </c>
      <c r="F26" s="34" t="s">
        <v>164</v>
      </c>
      <c r="O26" s="34" t="s">
        <v>107</v>
      </c>
      <c r="P26" s="3" t="s">
        <v>255</v>
      </c>
    </row>
    <row r="27" spans="1:20" ht="15" x14ac:dyDescent="0.15">
      <c r="A27" s="201"/>
      <c r="B27" s="14" t="s">
        <v>56</v>
      </c>
      <c r="C27" s="23" t="s">
        <v>89</v>
      </c>
      <c r="F27" s="3" t="s">
        <v>167</v>
      </c>
      <c r="O27" s="34" t="s">
        <v>108</v>
      </c>
      <c r="P27" s="34" t="s">
        <v>111</v>
      </c>
    </row>
    <row r="28" spans="1:20" ht="15" x14ac:dyDescent="0.15">
      <c r="A28" s="201"/>
      <c r="B28" s="14" t="s">
        <v>56</v>
      </c>
      <c r="C28" s="23" t="s">
        <v>90</v>
      </c>
      <c r="F28" s="34" t="s">
        <v>165</v>
      </c>
      <c r="O28" s="34" t="s">
        <v>109</v>
      </c>
      <c r="P28" s="34" t="s">
        <v>112</v>
      </c>
    </row>
    <row r="29" spans="1:20" ht="15" x14ac:dyDescent="0.15">
      <c r="A29" s="201"/>
      <c r="B29" s="8" t="s">
        <v>61</v>
      </c>
      <c r="C29" s="9" t="s">
        <v>91</v>
      </c>
      <c r="F29" s="3" t="s">
        <v>166</v>
      </c>
      <c r="P29" s="34" t="s">
        <v>113</v>
      </c>
    </row>
    <row r="30" spans="1:20" ht="15" x14ac:dyDescent="0.15">
      <c r="A30" s="201"/>
      <c r="B30" s="8" t="s">
        <v>61</v>
      </c>
      <c r="C30" s="9" t="s">
        <v>92</v>
      </c>
      <c r="P30" s="3" t="s">
        <v>387</v>
      </c>
    </row>
    <row r="31" spans="1:20" ht="15" x14ac:dyDescent="0.15">
      <c r="A31" s="201"/>
      <c r="B31" s="8" t="s">
        <v>61</v>
      </c>
      <c r="C31" s="9" t="s">
        <v>93</v>
      </c>
    </row>
    <row r="32" spans="1:20" ht="15" x14ac:dyDescent="0.15">
      <c r="A32" s="201"/>
      <c r="B32" s="14" t="s">
        <v>65</v>
      </c>
      <c r="C32" s="23" t="s">
        <v>94</v>
      </c>
    </row>
    <row r="33" spans="1:3" ht="15" x14ac:dyDescent="0.15">
      <c r="A33" s="201"/>
      <c r="B33" s="14" t="s">
        <v>65</v>
      </c>
      <c r="C33" s="23" t="s">
        <v>95</v>
      </c>
    </row>
    <row r="34" spans="1:3" ht="15" x14ac:dyDescent="0.15">
      <c r="A34" s="201"/>
      <c r="B34" s="14" t="s">
        <v>65</v>
      </c>
      <c r="C34" s="22" t="s">
        <v>96</v>
      </c>
    </row>
    <row r="35" spans="1:3" ht="15" x14ac:dyDescent="0.15">
      <c r="A35" s="201"/>
      <c r="B35" s="14" t="s">
        <v>65</v>
      </c>
      <c r="C35" s="23" t="s">
        <v>97</v>
      </c>
    </row>
    <row r="36" spans="1:3" ht="15" x14ac:dyDescent="0.15">
      <c r="A36" s="201"/>
      <c r="B36" s="24" t="s">
        <v>69</v>
      </c>
      <c r="C36" s="9" t="s">
        <v>98</v>
      </c>
    </row>
    <row r="37" spans="1:3" ht="15" x14ac:dyDescent="0.15">
      <c r="A37" s="201"/>
      <c r="B37" s="24" t="s">
        <v>69</v>
      </c>
      <c r="C37" s="9" t="s">
        <v>99</v>
      </c>
    </row>
    <row r="38" spans="1:3" ht="15" x14ac:dyDescent="0.15">
      <c r="A38" s="201"/>
      <c r="B38" s="25" t="s">
        <v>73</v>
      </c>
      <c r="C38" s="23" t="s">
        <v>257</v>
      </c>
    </row>
    <row r="39" spans="1:3" ht="15" x14ac:dyDescent="0.15">
      <c r="A39" s="201"/>
      <c r="B39" s="25" t="s">
        <v>73</v>
      </c>
      <c r="C39" s="23" t="s">
        <v>100</v>
      </c>
    </row>
    <row r="40" spans="1:3" ht="15" x14ac:dyDescent="0.15">
      <c r="A40" s="201"/>
      <c r="B40" s="26" t="s">
        <v>76</v>
      </c>
      <c r="C40" s="27" t="s">
        <v>101</v>
      </c>
    </row>
    <row r="41" spans="1:3" ht="15" x14ac:dyDescent="0.15">
      <c r="A41" s="201"/>
      <c r="B41" s="25" t="s">
        <v>77</v>
      </c>
      <c r="C41" s="15" t="s">
        <v>102</v>
      </c>
    </row>
    <row r="42" spans="1:3" ht="15" x14ac:dyDescent="0.15">
      <c r="A42" s="201"/>
      <c r="B42" s="26" t="s">
        <v>81</v>
      </c>
      <c r="C42" s="27" t="s">
        <v>105</v>
      </c>
    </row>
    <row r="43" spans="1:3" ht="15" x14ac:dyDescent="0.15">
      <c r="A43" s="201"/>
      <c r="B43" s="29"/>
      <c r="C43" s="30" t="s">
        <v>49</v>
      </c>
    </row>
    <row r="44" spans="1:3" ht="15" x14ac:dyDescent="0.15">
      <c r="A44" s="201" t="s">
        <v>103</v>
      </c>
      <c r="B44" s="26" t="s">
        <v>79</v>
      </c>
      <c r="C44" s="28" t="s">
        <v>22</v>
      </c>
    </row>
    <row r="45" spans="1:3" ht="15" x14ac:dyDescent="0.15">
      <c r="A45" s="202"/>
      <c r="B45" s="26" t="s">
        <v>79</v>
      </c>
      <c r="C45" s="28" t="s">
        <v>252</v>
      </c>
    </row>
    <row r="46" spans="1:3" ht="30" x14ac:dyDescent="0.15">
      <c r="A46" s="202"/>
      <c r="B46" s="26" t="s">
        <v>79</v>
      </c>
      <c r="C46" s="28" t="s">
        <v>104</v>
      </c>
    </row>
    <row r="47" spans="1:3" ht="15" x14ac:dyDescent="0.15">
      <c r="A47" s="202"/>
      <c r="B47" s="29"/>
      <c r="C47" s="30" t="s">
        <v>49</v>
      </c>
    </row>
  </sheetData>
  <mergeCells count="4">
    <mergeCell ref="A3:A8"/>
    <mergeCell ref="A9:A23"/>
    <mergeCell ref="A24:A43"/>
    <mergeCell ref="A44:A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Matriz Cons. Indicadores </vt:lpstr>
      <vt:lpstr>Hoja2</vt:lpstr>
      <vt:lpstr>Hoja1</vt:lpstr>
      <vt:lpstr>Instructivo</vt:lpstr>
      <vt:lpstr>Fuente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Gomez</dc:creator>
  <cp:lastModifiedBy>Usuario de Microsoft Office</cp:lastModifiedBy>
  <cp:lastPrinted>2020-01-28T18:33:04Z</cp:lastPrinted>
  <dcterms:created xsi:type="dcterms:W3CDTF">2017-05-08T16:03:18Z</dcterms:created>
  <dcterms:modified xsi:type="dcterms:W3CDTF">2020-08-12T17:58:58Z</dcterms:modified>
</cp:coreProperties>
</file>