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925" tabRatio="752" activeTab="1"/>
  </bookViews>
  <sheets>
    <sheet name="PLANTA" sheetId="1" r:id="rId1"/>
    <sheet name="CONTRATISTAS" sheetId="2" r:id="rId2"/>
    <sheet name="INCAPACIDADES" sheetId="3" state="hidden" r:id="rId3"/>
    <sheet name="BS" sheetId="4" state="hidden" r:id="rId4"/>
    <sheet name="Vac2012" sheetId="5" state="hidden" r:id="rId5"/>
    <sheet name="Hoja1" sheetId="6" state="hidden" r:id="rId6"/>
    <sheet name="Ahorro AFC" sheetId="7" state="hidden" r:id="rId7"/>
    <sheet name="Pen Vol" sheetId="8" state="hidden" r:id="rId8"/>
    <sheet name="Retefuente" sheetId="9" state="hidden" r:id="rId9"/>
    <sheet name="RETENCION EN LA FUENTE" sheetId="10" state="hidden" r:id="rId10"/>
  </sheets>
  <externalReferences>
    <externalReference r:id="rId13"/>
    <externalReference r:id="rId14"/>
  </externalReferences>
  <definedNames>
    <definedName name="_xlnm._FilterDatabase" localSheetId="0" hidden="1">'PLANTA'!$A$6:$N$51</definedName>
    <definedName name="_xlnm._FilterDatabase" localSheetId="8" hidden="1">'Retefuente'!$A$49:$BG$79</definedName>
    <definedName name="_xlnm.Print_Area" localSheetId="6">'Ahorro AFC'!$A$1:$F$23</definedName>
    <definedName name="_xlnm.Print_Area" localSheetId="3">'BS'!$A$1:$I$25</definedName>
    <definedName name="_xlnm.Print_Area" localSheetId="2">'INCAPACIDADES'!$A$1:$K$24</definedName>
    <definedName name="_xlnm.Print_Area" localSheetId="0">'PLANTA'!$A$3:$M$49</definedName>
    <definedName name="_xlnm.Print_Area" localSheetId="9">'RETENCION EN LA FUENTE'!$A$1:$J$187</definedName>
    <definedName name="_xlnm.Print_Area" localSheetId="4">'Vac2012'!$B$1:$E$43</definedName>
    <definedName name="PAOLA">#REF!</definedName>
    <definedName name="rangos" localSheetId="0">'[2]Retefuente'!$D$46</definedName>
    <definedName name="rangos">'Retefuente'!$D$46</definedName>
    <definedName name="RUBRO">'[1]Rubros'!$A$1:$A$106</definedName>
    <definedName name="soldados">#REF!</definedName>
    <definedName name="SUB_TRANSPORTE" localSheetId="4">#REF!</definedName>
    <definedName name="SUB_TRANSPORTE">#REF!</definedName>
    <definedName name="SUBTRANS" localSheetId="4">#REF!</definedName>
    <definedName name="SUBTRANS">#REF!</definedName>
    <definedName name="_xlnm.Print_Titles" localSheetId="0">'PLANTA'!$A:$D</definedName>
    <definedName name="_xlnm.Print_Titles" localSheetId="9">'RETENCION EN LA FUENTE'!$1:$4</definedName>
    <definedName name="UVT" localSheetId="0">'[2]Retefuente'!$E$46</definedName>
    <definedName name="UVT">'Retefuente'!$E$46</definedName>
    <definedName name="VACANTES" localSheetId="4">#REF!</definedName>
    <definedName name="VACANTES">#REF!</definedName>
  </definedNames>
  <calcPr fullCalcOnLoad="1"/>
</workbook>
</file>

<file path=xl/comments10.xml><?xml version="1.0" encoding="utf-8"?>
<comments xmlns="http://schemas.openxmlformats.org/spreadsheetml/2006/main">
  <authors>
    <author/>
    <author>Hogar</author>
    <author>RCampos</author>
  </authors>
  <commentList>
    <comment ref="D15" authorId="0">
      <text>
        <r>
          <rPr>
            <b/>
            <sz val="8"/>
            <color indexed="8"/>
            <rFont val="Times New Roman"/>
            <family val="1"/>
          </rPr>
          <t xml:space="preserve">Deissy Murcia:
</t>
        </r>
        <r>
          <rPr>
            <sz val="8"/>
            <color indexed="8"/>
            <rFont val="Times New Roman"/>
            <family val="1"/>
          </rPr>
          <t>SE TOMA EL 25%  DE PAGOS LABORALES COMO EXENTOS   DE ACUERDO AL ART. 206 DEL E.T.</t>
        </r>
      </text>
    </comment>
    <comment ref="I8" authorId="0">
      <text>
        <r>
          <rPr>
            <sz val="8"/>
            <color indexed="8"/>
            <rFont val="Times New Roman"/>
            <family val="1"/>
          </rPr>
          <t xml:space="preserve">SE TOMA LA ASIGNACION BASICA MENOS PAGO PENSION EMPLEADO- FONDO DE SOLIDARIDAD O APORTE PENSION VOLUNTARIA
</t>
        </r>
      </text>
    </comment>
    <comment ref="I15" authorId="0">
      <text>
        <r>
          <rPr>
            <sz val="8"/>
            <color indexed="8"/>
            <rFont val="Times New Roman"/>
            <family val="1"/>
          </rPr>
          <t>SE TOMA EL 25%  DE PAGOS LABORALES COMO EXENTOS   DE ACUERDO AL ART. 206 DEL E.T.</t>
        </r>
      </text>
    </comment>
    <comment ref="D55" authorId="0">
      <text>
        <r>
          <rPr>
            <b/>
            <sz val="8"/>
            <color indexed="8"/>
            <rFont val="Times New Roman"/>
            <family val="1"/>
          </rPr>
          <t xml:space="preserve">Deissy Murcia:
</t>
        </r>
        <r>
          <rPr>
            <sz val="8"/>
            <color indexed="8"/>
            <rFont val="Times New Roman"/>
            <family val="1"/>
          </rPr>
          <t xml:space="preserve">SE TOMA LA ASIGNACION BASICA MENOS PAGO PENSION EMPLEADO- FONDO DE SOLIDARIDAD O APORTE PENSION VOLUNTARIA
</t>
        </r>
      </text>
    </comment>
    <comment ref="D62" authorId="0">
      <text>
        <r>
          <rPr>
            <sz val="8"/>
            <color indexed="8"/>
            <rFont val="Times New Roman"/>
            <family val="1"/>
          </rPr>
          <t>SE TOMA EL 25%  DE PAGOS LABORALES COMO EXENTOS   DE ACUERDO AL ART. 206 DEL E.T.</t>
        </r>
      </text>
    </comment>
    <comment ref="I32" authorId="0">
      <text>
        <r>
          <rPr>
            <sz val="8"/>
            <color indexed="8"/>
            <rFont val="Times New Roman"/>
            <family val="1"/>
          </rPr>
          <t xml:space="preserve">SE TOMA LA ASIGNACION BASICA MENOS PAGO PENSION EMPLEADO- FONDO DE SOLIDARIDAD O APORTE PENSION VOLUNTARIA
</t>
        </r>
      </text>
    </comment>
    <comment ref="I39" authorId="0">
      <text>
        <r>
          <rPr>
            <sz val="8"/>
            <color indexed="8"/>
            <rFont val="Times New Roman"/>
            <family val="1"/>
          </rPr>
          <t>SE TOMA EL 25%  DE PAGOS LABORALES COMO EXENTOS   DE ACUERDO AL ART. 206 DEL E.T.</t>
        </r>
      </text>
    </comment>
    <comment ref="D79" authorId="0">
      <text>
        <r>
          <rPr>
            <sz val="8"/>
            <color indexed="8"/>
            <rFont val="Times New Roman"/>
            <family val="1"/>
          </rPr>
          <t xml:space="preserve">SE TOMA LA ASIGNACION BASICA MENOS PAGO PENSION EMPLEADO- FONDO DE SOLIDARIDAD O APORTE PENSION VOLUNTARIA
</t>
        </r>
      </text>
    </comment>
    <comment ref="D86" authorId="0">
      <text>
        <r>
          <rPr>
            <sz val="8"/>
            <color indexed="8"/>
            <rFont val="Times New Roman"/>
            <family val="1"/>
          </rPr>
          <t>SE TOMA EL 25%  DE PAGOS LABORALES COMO EXENTOS   DE ACUERDO AL ART. 206 DEL E.T.</t>
        </r>
      </text>
    </comment>
    <comment ref="I55" authorId="0">
      <text>
        <r>
          <rPr>
            <sz val="8"/>
            <color indexed="8"/>
            <rFont val="Times New Roman"/>
            <family val="1"/>
          </rPr>
          <t xml:space="preserve">SE TOMA LA ASIGNACION BASICA MENOS PAGO PENSION EMPLEADO- FONDO DE SOLIDARIDAD O APORTE PENSION VOLUNTARIA
</t>
        </r>
      </text>
    </comment>
    <comment ref="I62" authorId="0">
      <text>
        <r>
          <rPr>
            <sz val="8"/>
            <color indexed="8"/>
            <rFont val="Times New Roman"/>
            <family val="1"/>
          </rPr>
          <t>SE TOMA EL 25%  DE PAGOS LABORALES COMO EXENTOS   DE ACUERDO AL ART. 206 DEL E.T.</t>
        </r>
      </text>
    </comment>
    <comment ref="D32" authorId="0">
      <text>
        <r>
          <rPr>
            <sz val="8"/>
            <color indexed="8"/>
            <rFont val="Times New Roman"/>
            <family val="1"/>
          </rPr>
          <t>SE TOMA LA ASIGNACION BASICA MENOS PAGO PENSION EMPLEADO- FONDO DE SOLIDARIDAD O APORTE PENSION VOLUNTARIA</t>
        </r>
      </text>
    </comment>
    <comment ref="D39" authorId="0">
      <text>
        <r>
          <rPr>
            <sz val="8"/>
            <color indexed="8"/>
            <rFont val="Times New Roman"/>
            <family val="1"/>
          </rPr>
          <t>SE TOMA EL 25%  DE PAGOS LABORALES COMO EXENTOS   DE ACUERDO AL ART. 206 DEL E.T.</t>
        </r>
      </text>
    </comment>
    <comment ref="D102" authorId="0">
      <text>
        <r>
          <rPr>
            <sz val="8"/>
            <color indexed="8"/>
            <rFont val="Times New Roman"/>
            <family val="1"/>
          </rPr>
          <t>SE TOMA LA ASIGNACION BASICA MENOS PAGO PENSION EMPLEADO- FONDO DE SOLIDARIDAD O APORTE PENSION VOLUNTARIA</t>
        </r>
      </text>
    </comment>
    <comment ref="D109" authorId="0">
      <text>
        <r>
          <rPr>
            <sz val="8"/>
            <color indexed="8"/>
            <rFont val="Times New Roman"/>
            <family val="1"/>
          </rPr>
          <t>SE TOMA EL 25%  DE PAGOS LABORALES COMO EXENTOS   DE ACUERDO AL ART. 206 DEL E.T.</t>
        </r>
      </text>
    </comment>
    <comment ref="I79" authorId="0">
      <text>
        <r>
          <rPr>
            <sz val="8"/>
            <color indexed="8"/>
            <rFont val="Times New Roman"/>
            <family val="1"/>
          </rPr>
          <t xml:space="preserve">SE TOMA LA ASIGNACION BASICA MENOS PAGO PENSION EMPLEADO- FONDO DE SOLIDARIDAD O APORTE PENSION VOLUNTARIA
</t>
        </r>
      </text>
    </comment>
    <comment ref="I86" authorId="0">
      <text>
        <r>
          <rPr>
            <b/>
            <sz val="8"/>
            <color indexed="8"/>
            <rFont val="Times New Roman"/>
            <family val="1"/>
          </rPr>
          <t xml:space="preserve">Deissy Murcia:
</t>
        </r>
        <r>
          <rPr>
            <sz val="8"/>
            <color indexed="8"/>
            <rFont val="Times New Roman"/>
            <family val="1"/>
          </rPr>
          <t>SE TOMA EL 25%  DE PAGOS LABORALES COMO EXENTOS   DE ACUERDO AL ART. 206 DEL E.T.</t>
        </r>
      </text>
    </comment>
    <comment ref="I102" authorId="0">
      <text>
        <r>
          <rPr>
            <sz val="8"/>
            <color indexed="8"/>
            <rFont val="Times New Roman"/>
            <family val="1"/>
          </rPr>
          <t xml:space="preserve">SE TOMA LA ASIGNACION BASICA MENOS PAGO PENSION EMPLEADO- FONDO DE SOLIDARIDAD O APORTE PENSION VOLUNTARIA
</t>
        </r>
      </text>
    </comment>
    <comment ref="I109" authorId="0">
      <text>
        <r>
          <rPr>
            <sz val="8"/>
            <color indexed="8"/>
            <rFont val="Times New Roman"/>
            <family val="1"/>
          </rPr>
          <t>SE TOMA EL 25%  DE PAGOS LABORALES COMO EXENTOS   DE ACUERDO AL ART. 206 DEL E.T.</t>
        </r>
      </text>
    </comment>
    <comment ref="D124" authorId="0">
      <text>
        <r>
          <rPr>
            <sz val="8"/>
            <color indexed="8"/>
            <rFont val="Times New Roman"/>
            <family val="1"/>
          </rPr>
          <t xml:space="preserve">SE TOMA LA ASIGNACION BASICA MENOS PAGO PENSION EMPLEADO- FONDO DE SOLIDARIDAD O APORTE PENSION VOLUNTARIA
</t>
        </r>
      </text>
    </comment>
    <comment ref="D131" authorId="0">
      <text>
        <r>
          <rPr>
            <sz val="8"/>
            <color indexed="8"/>
            <rFont val="Times New Roman"/>
            <family val="1"/>
          </rPr>
          <t>SE TOMA EL 25%  DE PAGOS LABORALES COMO EXENTOS   DE ACUERDO AL ART. 206 DEL E.T.</t>
        </r>
      </text>
    </comment>
    <comment ref="E62" authorId="1">
      <text>
        <r>
          <rPr>
            <b/>
            <sz val="8"/>
            <rFont val="Tahoma"/>
            <family val="2"/>
          </rPr>
          <t>Hogar:</t>
        </r>
        <r>
          <rPr>
            <sz val="8"/>
            <rFont val="Tahoma"/>
            <family val="2"/>
          </rPr>
          <t xml:space="preserve">
</t>
        </r>
      </text>
    </comment>
    <comment ref="I124" authorId="0">
      <text>
        <r>
          <rPr>
            <sz val="8"/>
            <color indexed="8"/>
            <rFont val="Times New Roman"/>
            <family val="1"/>
          </rPr>
          <t xml:space="preserve">SE TOMA LA ASIGNACION BASICA MENOS PAGO PENSION EMPLEADO- FONDO DE SOLIDARIDAD O APORTE PENSION VOLUNTARIA
</t>
        </r>
      </text>
    </comment>
    <comment ref="I131" authorId="0">
      <text>
        <r>
          <rPr>
            <sz val="8"/>
            <color indexed="8"/>
            <rFont val="Times New Roman"/>
            <family val="1"/>
          </rPr>
          <t>SE TOMA EL 25%  DE PAGOS LABORALES COMO EXENTOS   DE ACUERDO AL ART. 206 DEL E.T.</t>
        </r>
      </text>
    </comment>
    <comment ref="E64" authorId="2">
      <text>
        <r>
          <rPr>
            <b/>
            <sz val="8"/>
            <rFont val="Tahoma"/>
            <family val="2"/>
          </rPr>
          <t>RCampos:</t>
        </r>
        <r>
          <rPr>
            <sz val="8"/>
            <rFont val="Tahoma"/>
            <family val="2"/>
          </rPr>
          <t xml:space="preserve">
Pagos por salud y educación hasta el 15% de los ingresos laborales gravados.</t>
        </r>
      </text>
    </comment>
    <comment ref="J87" authorId="2">
      <text>
        <r>
          <rPr>
            <b/>
            <sz val="8"/>
            <rFont val="Tahoma"/>
            <family val="2"/>
          </rPr>
          <t>RCampos:</t>
        </r>
        <r>
          <rPr>
            <sz val="8"/>
            <rFont val="Tahoma"/>
            <family val="2"/>
          </rPr>
          <t xml:space="preserve">
Pagos por salud y educación hasta el 15% de los ingresos laborales gravados.</t>
        </r>
      </text>
    </comment>
    <comment ref="J111" authorId="2">
      <text>
        <r>
          <rPr>
            <b/>
            <sz val="8"/>
            <rFont val="Tahoma"/>
            <family val="2"/>
          </rPr>
          <t>RCampos:</t>
        </r>
        <r>
          <rPr>
            <sz val="8"/>
            <rFont val="Tahoma"/>
            <family val="2"/>
          </rPr>
          <t xml:space="preserve">
Pagos por salud y educación hasta el 15% de los ingresos laborales gravados.</t>
        </r>
      </text>
    </comment>
    <comment ref="D147" authorId="0">
      <text>
        <r>
          <rPr>
            <sz val="8"/>
            <color indexed="8"/>
            <rFont val="Times New Roman"/>
            <family val="1"/>
          </rPr>
          <t xml:space="preserve">SE TOMA LA ASIGNACION BASICA MENOS PAGO PENSION EMPLEADO- FONDO DE SOLIDARIDAD O APORTE PENSION VOLUNTARIA
</t>
        </r>
      </text>
    </comment>
    <comment ref="D154" authorId="0">
      <text>
        <r>
          <rPr>
            <sz val="8"/>
            <color indexed="8"/>
            <rFont val="Times New Roman"/>
            <family val="1"/>
          </rPr>
          <t>SE TOMA EL 25%  DE PAGOS LABORALES COMO EXENTOS   DE ACUERDO AL ART. 206 DEL E.T.</t>
        </r>
      </text>
    </comment>
    <comment ref="J41" authorId="2">
      <text>
        <r>
          <rPr>
            <b/>
            <sz val="8"/>
            <rFont val="Tahoma"/>
            <family val="2"/>
          </rPr>
          <t>RCampos:</t>
        </r>
        <r>
          <rPr>
            <sz val="8"/>
            <rFont val="Tahoma"/>
            <family val="2"/>
          </rPr>
          <t xml:space="preserve">
Pagos por salud y educación hasta el 15% de los ingresos laborales gravados.</t>
        </r>
      </text>
    </comment>
    <comment ref="D170" authorId="0">
      <text>
        <r>
          <rPr>
            <sz val="8"/>
            <color indexed="8"/>
            <rFont val="Times New Roman"/>
            <family val="1"/>
          </rPr>
          <t xml:space="preserve">SE TOMA LA ASIGNACION BASICA MENOS PAGO PENSION EMPLEADO- FONDO DE SOLIDARIDAD O APORTE PENSION VOLUNTARIA
</t>
        </r>
      </text>
    </comment>
    <comment ref="D177" authorId="0">
      <text>
        <r>
          <rPr>
            <sz val="8"/>
            <color indexed="8"/>
            <rFont val="Times New Roman"/>
            <family val="1"/>
          </rPr>
          <t>SE TOMA EL 25%  DE PAGOS LABORALES COMO EXENTOS   DE ACUERDO AL ART. 206 DEL E.T.</t>
        </r>
      </text>
    </comment>
    <comment ref="I147" authorId="0">
      <text>
        <r>
          <rPr>
            <sz val="8"/>
            <color indexed="8"/>
            <rFont val="Times New Roman"/>
            <family val="1"/>
          </rPr>
          <t xml:space="preserve">SE TOMA LA ASIGNACION BASICA MENOS PAGO PENSION EMPLEADO- FONDO DE SOLIDARIDAD O APORTE PENSION VOLUNTARIA
</t>
        </r>
      </text>
    </comment>
    <comment ref="I154" authorId="0">
      <text>
        <r>
          <rPr>
            <sz val="8"/>
            <color indexed="8"/>
            <rFont val="Times New Roman"/>
            <family val="1"/>
          </rPr>
          <t>SE TOMA EL 25%  DE PAGOS LABORALES COMO EXENTOS   DE ACUERDO AL ART. 206 DEL E.T.</t>
        </r>
      </text>
    </comment>
    <comment ref="I170" authorId="0">
      <text>
        <r>
          <rPr>
            <sz val="8"/>
            <color indexed="8"/>
            <rFont val="Times New Roman"/>
            <family val="1"/>
          </rPr>
          <t xml:space="preserve">SE TOMA LA ASIGNACION BASICA MENOS PAGO PENSION EMPLEADO- FONDO DE SOLIDARIDAD O APORTE PENSION VOLUNTARIA
</t>
        </r>
      </text>
    </comment>
    <comment ref="I177" authorId="0">
      <text>
        <r>
          <rPr>
            <sz val="8"/>
            <color indexed="8"/>
            <rFont val="Times New Roman"/>
            <family val="1"/>
          </rPr>
          <t>SE TOMA EL 25%  DE PAGOS LABORALES COMO EXENTOS   DE ACUERDO AL ART. 206 DEL E.T.</t>
        </r>
      </text>
    </comment>
    <comment ref="D192" authorId="0">
      <text>
        <r>
          <rPr>
            <sz val="8"/>
            <color indexed="8"/>
            <rFont val="Times New Roman"/>
            <family val="1"/>
          </rPr>
          <t xml:space="preserve">SE TOMA LA ASIGNACION BASICA MENOS PAGO PENSION EMPLEADO- FONDO DE SOLIDARIDAD O APORTE PENSION VOLUNTARIA
</t>
        </r>
      </text>
    </comment>
    <comment ref="D199" authorId="0">
      <text>
        <r>
          <rPr>
            <sz val="8"/>
            <color indexed="8"/>
            <rFont val="Times New Roman"/>
            <family val="1"/>
          </rPr>
          <t>SE TOMA EL 25%  DE PAGOS LABORALES COMO EXENTOS   DE ACUERDO AL ART. 206 DEL E.T.</t>
        </r>
      </text>
    </comment>
    <comment ref="I192" authorId="0">
      <text>
        <r>
          <rPr>
            <sz val="8"/>
            <color indexed="8"/>
            <rFont val="Times New Roman"/>
            <family val="1"/>
          </rPr>
          <t xml:space="preserve">SE TOMA LA ASIGNACION BASICA MENOS PAGO PENSION EMPLEADO- FONDO DE SOLIDARIDAD O APORTE PENSION VOLUNTARIA
</t>
        </r>
      </text>
    </comment>
    <comment ref="I199" authorId="0">
      <text>
        <r>
          <rPr>
            <sz val="8"/>
            <color indexed="8"/>
            <rFont val="Times New Roman"/>
            <family val="1"/>
          </rPr>
          <t>SE TOMA EL 25%  DE PAGOS LABORALES COMO EXENTOS   DE ACUERDO AL ART. 206 DEL E.T.</t>
        </r>
      </text>
    </comment>
    <comment ref="D216" authorId="0">
      <text>
        <r>
          <rPr>
            <sz val="8"/>
            <color indexed="8"/>
            <rFont val="Times New Roman"/>
            <family val="1"/>
          </rPr>
          <t xml:space="preserve">SE TOMA LA ASIGNACION BASICA MENOS PAGO PENSION EMPLEADO- FONDO DE SOLIDARIDAD O APORTE PENSION VOLUNTARIA
</t>
        </r>
      </text>
    </comment>
    <comment ref="D223" authorId="0">
      <text>
        <r>
          <rPr>
            <sz val="8"/>
            <color indexed="8"/>
            <rFont val="Times New Roman"/>
            <family val="1"/>
          </rPr>
          <t>SE TOMA EL 25%  DE PAGOS LABORALES COMO EXENTOS   DE ACUERDO AL ART. 206 DEL E.T.</t>
        </r>
      </text>
    </comment>
    <comment ref="I216" authorId="0">
      <text>
        <r>
          <rPr>
            <sz val="8"/>
            <color indexed="8"/>
            <rFont val="Times New Roman"/>
            <family val="1"/>
          </rPr>
          <t xml:space="preserve">SE TOMA LA ASIGNACION BASICA MENOS PAGO PENSION EMPLEADO- FONDO DE SOLIDARIDAD O APORTE PENSION VOLUNTARIA
</t>
        </r>
      </text>
    </comment>
    <comment ref="I223" authorId="0">
      <text>
        <r>
          <rPr>
            <sz val="8"/>
            <color indexed="8"/>
            <rFont val="Times New Roman"/>
            <family val="1"/>
          </rPr>
          <t>SE TOMA EL 25%  DE PAGOS LABORALES COMO EXENTOS   DE ACUERDO AL ART. 206 DEL E.T.</t>
        </r>
      </text>
    </comment>
    <comment ref="D240" authorId="0">
      <text>
        <r>
          <rPr>
            <sz val="8"/>
            <color indexed="8"/>
            <rFont val="Times New Roman"/>
            <family val="1"/>
          </rPr>
          <t xml:space="preserve">SE TOMA LA ASIGNACION BASICA MENOS PAGO PENSION EMPLEADO- FONDO DE SOLIDARIDAD O APORTE PENSION VOLUNTARIA
</t>
        </r>
      </text>
    </comment>
    <comment ref="D247" authorId="0">
      <text>
        <r>
          <rPr>
            <sz val="8"/>
            <color indexed="8"/>
            <rFont val="Times New Roman"/>
            <family val="1"/>
          </rPr>
          <t>SE TOMA EL 25%  DE PAGOS LABORALES COMO EXENTOS   DE ACUERDO AL ART. 206 DEL E.T.</t>
        </r>
      </text>
    </comment>
    <comment ref="I240" authorId="0">
      <text>
        <r>
          <rPr>
            <sz val="8"/>
            <color indexed="8"/>
            <rFont val="Times New Roman"/>
            <family val="1"/>
          </rPr>
          <t xml:space="preserve">SE TOMA LA ASIGNACION BASICA MENOS PAGO PENSION EMPLEADO- FONDO DE SOLIDARIDAD O APORTE PENSION VOLUNTARIA
</t>
        </r>
      </text>
    </comment>
    <comment ref="I247" authorId="0">
      <text>
        <r>
          <rPr>
            <sz val="8"/>
            <color indexed="8"/>
            <rFont val="Times New Roman"/>
            <family val="1"/>
          </rPr>
          <t>SE TOMA EL 25%  DE PAGOS LABORALES COMO EXENTOS   DE ACUERDO AL ART. 206 DEL E.T.</t>
        </r>
      </text>
    </comment>
  </commentList>
</comments>
</file>

<file path=xl/comments5.xml><?xml version="1.0" encoding="utf-8"?>
<comments xmlns="http://schemas.openxmlformats.org/spreadsheetml/2006/main">
  <authors>
    <author> </author>
  </authors>
  <commentList>
    <comment ref="J78" authorId="0">
      <text>
        <r>
          <rPr>
            <b/>
            <sz val="8"/>
            <rFont val="Tahoma"/>
            <family val="2"/>
          </rPr>
          <t xml:space="preserve"> :</t>
        </r>
        <r>
          <rPr>
            <sz val="8"/>
            <rFont val="Tahoma"/>
            <family val="2"/>
          </rPr>
          <t xml:space="preserve">
Es un estimulo, por lo tanto no hace parte del IBC</t>
        </r>
      </text>
    </comment>
    <comment ref="K78" authorId="0">
      <text>
        <r>
          <rPr>
            <b/>
            <sz val="8"/>
            <rFont val="Tahoma"/>
            <family val="2"/>
          </rPr>
          <t xml:space="preserve"> :</t>
        </r>
        <r>
          <rPr>
            <sz val="8"/>
            <rFont val="Tahoma"/>
            <family val="2"/>
          </rPr>
          <t xml:space="preserve">
Es un estimulo, por lo tanto no hace parte del IBC</t>
        </r>
      </text>
    </comment>
    <comment ref="J33" authorId="0">
      <text>
        <r>
          <rPr>
            <b/>
            <sz val="8"/>
            <rFont val="Tahoma"/>
            <family val="2"/>
          </rPr>
          <t xml:space="preserve"> :</t>
        </r>
        <r>
          <rPr>
            <sz val="8"/>
            <rFont val="Tahoma"/>
            <family val="2"/>
          </rPr>
          <t xml:space="preserve">
Es un estimulo, por lo tanto no hace parte del IBC</t>
        </r>
      </text>
    </comment>
    <comment ref="K33" authorId="0">
      <text>
        <r>
          <rPr>
            <b/>
            <sz val="8"/>
            <rFont val="Tahoma"/>
            <family val="2"/>
          </rPr>
          <t xml:space="preserve"> :</t>
        </r>
        <r>
          <rPr>
            <sz val="8"/>
            <rFont val="Tahoma"/>
            <family val="2"/>
          </rPr>
          <t xml:space="preserve">
Es un estimulo, por lo tanto no hace parte del IBC</t>
        </r>
      </text>
    </comment>
    <comment ref="D154" authorId="0">
      <text>
        <r>
          <rPr>
            <b/>
            <sz val="8"/>
            <rFont val="Tahoma"/>
            <family val="2"/>
          </rPr>
          <t xml:space="preserve"> :</t>
        </r>
        <r>
          <rPr>
            <sz val="8"/>
            <rFont val="Tahoma"/>
            <family val="2"/>
          </rPr>
          <t xml:space="preserve">
no hace parte del ingreso base de cotización (IBC)</t>
        </r>
      </text>
    </comment>
    <comment ref="D155" authorId="0">
      <text>
        <r>
          <rPr>
            <b/>
            <sz val="8"/>
            <rFont val="Tahoma"/>
            <family val="2"/>
          </rPr>
          <t xml:space="preserve"> :</t>
        </r>
        <r>
          <rPr>
            <sz val="8"/>
            <rFont val="Tahoma"/>
            <family val="2"/>
          </rPr>
          <t xml:space="preserve">
Este valor solo es factor para el cálculo, en su momento de pago ya hizo parte del IBC. </t>
        </r>
      </text>
    </comment>
    <comment ref="D198" authorId="0">
      <text>
        <r>
          <rPr>
            <b/>
            <sz val="8"/>
            <rFont val="Tahoma"/>
            <family val="2"/>
          </rPr>
          <t xml:space="preserve"> :</t>
        </r>
        <r>
          <rPr>
            <sz val="8"/>
            <rFont val="Tahoma"/>
            <family val="2"/>
          </rPr>
          <t xml:space="preserve">
no hace parte del ingreso base de cotización (IBC)</t>
        </r>
      </text>
    </comment>
    <comment ref="D199" authorId="0">
      <text>
        <r>
          <rPr>
            <b/>
            <sz val="8"/>
            <rFont val="Tahoma"/>
            <family val="2"/>
          </rPr>
          <t xml:space="preserve"> :</t>
        </r>
        <r>
          <rPr>
            <sz val="8"/>
            <rFont val="Tahoma"/>
            <family val="2"/>
          </rPr>
          <t xml:space="preserve">
Este valor solo es factor para el cálculo, en su momento de pago ya hizo parte del IBC. </t>
        </r>
      </text>
    </comment>
    <comment ref="D242" authorId="0">
      <text>
        <r>
          <rPr>
            <b/>
            <sz val="8"/>
            <rFont val="Tahoma"/>
            <family val="2"/>
          </rPr>
          <t xml:space="preserve"> :</t>
        </r>
        <r>
          <rPr>
            <sz val="8"/>
            <rFont val="Tahoma"/>
            <family val="2"/>
          </rPr>
          <t xml:space="preserve">
no hace parte del ingreso base de cotización (IBC)</t>
        </r>
      </text>
    </comment>
    <comment ref="D243" authorId="0">
      <text>
        <r>
          <rPr>
            <b/>
            <sz val="8"/>
            <rFont val="Tahoma"/>
            <family val="2"/>
          </rPr>
          <t xml:space="preserve"> :</t>
        </r>
        <r>
          <rPr>
            <sz val="8"/>
            <rFont val="Tahoma"/>
            <family val="2"/>
          </rPr>
          <t xml:space="preserve">
Este valor solo es factor para el cálculo, en su momento de pago ya hizo parte del IBC. </t>
        </r>
      </text>
    </comment>
    <comment ref="D286" authorId="0">
      <text>
        <r>
          <rPr>
            <b/>
            <sz val="8"/>
            <rFont val="Tahoma"/>
            <family val="2"/>
          </rPr>
          <t xml:space="preserve"> :</t>
        </r>
        <r>
          <rPr>
            <sz val="8"/>
            <rFont val="Tahoma"/>
            <family val="2"/>
          </rPr>
          <t xml:space="preserve">
no hace parte del ingreso base de cotización (IBC)</t>
        </r>
      </text>
    </comment>
    <comment ref="D287" authorId="0">
      <text>
        <r>
          <rPr>
            <b/>
            <sz val="8"/>
            <rFont val="Tahoma"/>
            <family val="2"/>
          </rPr>
          <t xml:space="preserve"> :</t>
        </r>
        <r>
          <rPr>
            <sz val="8"/>
            <rFont val="Tahoma"/>
            <family val="2"/>
          </rPr>
          <t xml:space="preserve">
Este valor solo es factor para el cálculo, en su momento de pago ya hizo parte del IBC. </t>
        </r>
      </text>
    </comment>
    <comment ref="J65" authorId="0">
      <text>
        <r>
          <rPr>
            <b/>
            <sz val="8"/>
            <rFont val="Tahoma"/>
            <family val="2"/>
          </rPr>
          <t xml:space="preserve"> :</t>
        </r>
        <r>
          <rPr>
            <sz val="8"/>
            <rFont val="Tahoma"/>
            <family val="2"/>
          </rPr>
          <t xml:space="preserve">
no hace parte del ingreso base de cotización (IBC)</t>
        </r>
      </text>
    </comment>
    <comment ref="J66" authorId="0">
      <text>
        <r>
          <rPr>
            <b/>
            <sz val="8"/>
            <rFont val="Tahoma"/>
            <family val="2"/>
          </rPr>
          <t xml:space="preserve"> :</t>
        </r>
        <r>
          <rPr>
            <sz val="8"/>
            <rFont val="Tahoma"/>
            <family val="2"/>
          </rPr>
          <t xml:space="preserve">
Este valor solo es factor para el cálculo, en su momento de pago ya hizo parte del IBC. </t>
        </r>
      </text>
    </comment>
    <comment ref="J20" authorId="0">
      <text>
        <r>
          <rPr>
            <b/>
            <sz val="8"/>
            <rFont val="Tahoma"/>
            <family val="2"/>
          </rPr>
          <t xml:space="preserve"> :</t>
        </r>
        <r>
          <rPr>
            <sz val="8"/>
            <rFont val="Tahoma"/>
            <family val="2"/>
          </rPr>
          <t xml:space="preserve">
no hace parte del ingreso base de cotización (IBC)</t>
        </r>
      </text>
    </comment>
    <comment ref="K20" authorId="0">
      <text>
        <r>
          <rPr>
            <b/>
            <sz val="8"/>
            <rFont val="Tahoma"/>
            <family val="2"/>
          </rPr>
          <t xml:space="preserve"> :</t>
        </r>
        <r>
          <rPr>
            <sz val="8"/>
            <rFont val="Tahoma"/>
            <family val="2"/>
          </rPr>
          <t xml:space="preserve">
no hace parte del ingreso base de cotización (IBC)</t>
        </r>
      </text>
    </comment>
    <comment ref="J31" authorId="0">
      <text>
        <r>
          <rPr>
            <b/>
            <sz val="8"/>
            <rFont val="Tahoma"/>
            <family val="2"/>
          </rPr>
          <t xml:space="preserve"> :</t>
        </r>
        <r>
          <rPr>
            <sz val="8"/>
            <rFont val="Tahoma"/>
            <family val="2"/>
          </rPr>
          <t xml:space="preserve">
no hace parte del ingreso base de cotización (IBC)</t>
        </r>
      </text>
    </comment>
    <comment ref="K31" authorId="0">
      <text>
        <r>
          <rPr>
            <b/>
            <sz val="8"/>
            <rFont val="Tahoma"/>
            <family val="2"/>
          </rPr>
          <t xml:space="preserve"> :</t>
        </r>
        <r>
          <rPr>
            <sz val="8"/>
            <rFont val="Tahoma"/>
            <family val="2"/>
          </rPr>
          <t xml:space="preserve">
no hace parte del ingreso base de cotización (IBC)</t>
        </r>
      </text>
    </comment>
    <comment ref="J32" authorId="0">
      <text>
        <r>
          <rPr>
            <b/>
            <sz val="8"/>
            <rFont val="Tahoma"/>
            <family val="2"/>
          </rPr>
          <t xml:space="preserve"> :</t>
        </r>
        <r>
          <rPr>
            <sz val="8"/>
            <rFont val="Tahoma"/>
            <family val="2"/>
          </rPr>
          <t xml:space="preserve">
Este valor solo es factor para el cálculo, en su momento de pago ya hizo parte del IBC. </t>
        </r>
      </text>
    </comment>
    <comment ref="K32" authorId="0">
      <text>
        <r>
          <rPr>
            <b/>
            <sz val="8"/>
            <rFont val="Tahoma"/>
            <family val="2"/>
          </rPr>
          <t xml:space="preserve"> :</t>
        </r>
        <r>
          <rPr>
            <sz val="8"/>
            <rFont val="Tahoma"/>
            <family val="2"/>
          </rPr>
          <t xml:space="preserve">
Este valor solo es factor para el cálculo, en su momento de pago ya hizo parte del IBC. </t>
        </r>
      </text>
    </comment>
    <comment ref="J110" authorId="0">
      <text>
        <r>
          <rPr>
            <b/>
            <sz val="8"/>
            <rFont val="Tahoma"/>
            <family val="2"/>
          </rPr>
          <t xml:space="preserve"> :</t>
        </r>
        <r>
          <rPr>
            <sz val="8"/>
            <rFont val="Tahoma"/>
            <family val="2"/>
          </rPr>
          <t xml:space="preserve">
no hace parte del ingreso base de cotización (IBC)</t>
        </r>
      </text>
    </comment>
    <comment ref="J111" authorId="0">
      <text>
        <r>
          <rPr>
            <b/>
            <sz val="8"/>
            <rFont val="Tahoma"/>
            <family val="2"/>
          </rPr>
          <t xml:space="preserve"> :</t>
        </r>
        <r>
          <rPr>
            <sz val="8"/>
            <rFont val="Tahoma"/>
            <family val="2"/>
          </rPr>
          <t xml:space="preserve">
Este valor solo es factor para el cálculo, en su momento de pago ya hizo parte del IBC. </t>
        </r>
      </text>
    </comment>
    <comment ref="J123" authorId="0">
      <text>
        <r>
          <rPr>
            <b/>
            <sz val="8"/>
            <rFont val="Tahoma"/>
            <family val="2"/>
          </rPr>
          <t xml:space="preserve"> :</t>
        </r>
        <r>
          <rPr>
            <sz val="8"/>
            <rFont val="Tahoma"/>
            <family val="2"/>
          </rPr>
          <t xml:space="preserve">
Es un estimulo, por lo tanto no hace parte del IBC</t>
        </r>
      </text>
    </comment>
    <comment ref="K123" authorId="0">
      <text>
        <r>
          <rPr>
            <b/>
            <sz val="8"/>
            <rFont val="Tahoma"/>
            <family val="2"/>
          </rPr>
          <t xml:space="preserve"> :</t>
        </r>
        <r>
          <rPr>
            <sz val="8"/>
            <rFont val="Tahoma"/>
            <family val="2"/>
          </rPr>
          <t xml:space="preserve">
Es un estimulo, por lo tanto no hace parte del IBC</t>
        </r>
      </text>
    </comment>
    <comment ref="D110" authorId="0">
      <text>
        <r>
          <rPr>
            <b/>
            <sz val="8"/>
            <rFont val="Tahoma"/>
            <family val="2"/>
          </rPr>
          <t xml:space="preserve"> :</t>
        </r>
        <r>
          <rPr>
            <sz val="8"/>
            <rFont val="Tahoma"/>
            <family val="2"/>
          </rPr>
          <t xml:space="preserve">
no hace parte del ingreso base de cotización (IBC)</t>
        </r>
      </text>
    </comment>
    <comment ref="D111" authorId="0">
      <text>
        <r>
          <rPr>
            <b/>
            <sz val="8"/>
            <rFont val="Tahoma"/>
            <family val="2"/>
          </rPr>
          <t xml:space="preserve"> :</t>
        </r>
        <r>
          <rPr>
            <sz val="8"/>
            <rFont val="Tahoma"/>
            <family val="2"/>
          </rPr>
          <t xml:space="preserve">
no hace parte del ingreso base de cotización (IBC)</t>
        </r>
      </text>
    </comment>
    <comment ref="D65" authorId="0">
      <text>
        <r>
          <rPr>
            <b/>
            <sz val="8"/>
            <rFont val="Tahoma"/>
            <family val="2"/>
          </rPr>
          <t xml:space="preserve"> :</t>
        </r>
        <r>
          <rPr>
            <sz val="8"/>
            <rFont val="Tahoma"/>
            <family val="2"/>
          </rPr>
          <t xml:space="preserve">
no hace parte del ingreso base de cotización (IBC)</t>
        </r>
      </text>
    </comment>
    <comment ref="D66" authorId="0">
      <text>
        <r>
          <rPr>
            <b/>
            <sz val="8"/>
            <rFont val="Tahoma"/>
            <family val="2"/>
          </rPr>
          <t xml:space="preserve"> :</t>
        </r>
        <r>
          <rPr>
            <sz val="8"/>
            <rFont val="Tahoma"/>
            <family val="2"/>
          </rPr>
          <t xml:space="preserve">
no hace parte del ingreso base de cotización (IBC)</t>
        </r>
      </text>
    </comment>
    <comment ref="J21" authorId="0">
      <text>
        <r>
          <rPr>
            <b/>
            <sz val="8"/>
            <rFont val="Tahoma"/>
            <family val="2"/>
          </rPr>
          <t xml:space="preserve"> :</t>
        </r>
        <r>
          <rPr>
            <sz val="8"/>
            <rFont val="Tahoma"/>
            <family val="2"/>
          </rPr>
          <t xml:space="preserve">
no hace parte del ingreso base de cotización (IBC)</t>
        </r>
      </text>
    </comment>
    <comment ref="K21" authorId="0">
      <text>
        <r>
          <rPr>
            <b/>
            <sz val="8"/>
            <rFont val="Tahoma"/>
            <family val="2"/>
          </rPr>
          <t xml:space="preserve"> :</t>
        </r>
        <r>
          <rPr>
            <sz val="8"/>
            <rFont val="Tahoma"/>
            <family val="2"/>
          </rPr>
          <t xml:space="preserve">
no hace parte del ingreso base de cotización (IBC)</t>
        </r>
      </text>
    </comment>
    <comment ref="K65" authorId="0">
      <text>
        <r>
          <rPr>
            <b/>
            <sz val="8"/>
            <rFont val="Tahoma"/>
            <family val="2"/>
          </rPr>
          <t xml:space="preserve"> :</t>
        </r>
        <r>
          <rPr>
            <sz val="8"/>
            <rFont val="Tahoma"/>
            <family val="2"/>
          </rPr>
          <t xml:space="preserve">
no hace parte del ingreso base de cotización (IBC)</t>
        </r>
      </text>
    </comment>
    <comment ref="K66" authorId="0">
      <text>
        <r>
          <rPr>
            <b/>
            <sz val="8"/>
            <rFont val="Tahoma"/>
            <family val="2"/>
          </rPr>
          <t xml:space="preserve"> :</t>
        </r>
        <r>
          <rPr>
            <sz val="8"/>
            <rFont val="Tahoma"/>
            <family val="2"/>
          </rPr>
          <t xml:space="preserve">
no hace parte del ingreso base de cotización (IBC)</t>
        </r>
      </text>
    </comment>
    <comment ref="K76" authorId="0">
      <text>
        <r>
          <rPr>
            <b/>
            <sz val="8"/>
            <rFont val="Tahoma"/>
            <family val="2"/>
          </rPr>
          <t xml:space="preserve"> :</t>
        </r>
        <r>
          <rPr>
            <sz val="8"/>
            <rFont val="Tahoma"/>
            <family val="2"/>
          </rPr>
          <t xml:space="preserve">
no hace parte del ingreso base de cotización (IBC)</t>
        </r>
      </text>
    </comment>
    <comment ref="K77" authorId="0">
      <text>
        <r>
          <rPr>
            <b/>
            <sz val="8"/>
            <rFont val="Tahoma"/>
            <family val="2"/>
          </rPr>
          <t xml:space="preserve"> :</t>
        </r>
        <r>
          <rPr>
            <sz val="8"/>
            <rFont val="Tahoma"/>
            <family val="2"/>
          </rPr>
          <t xml:space="preserve">
no hace parte del ingreso base de cotización (IBC)</t>
        </r>
      </text>
    </comment>
    <comment ref="K110" authorId="0">
      <text>
        <r>
          <rPr>
            <b/>
            <sz val="8"/>
            <rFont val="Tahoma"/>
            <family val="2"/>
          </rPr>
          <t xml:space="preserve"> :</t>
        </r>
        <r>
          <rPr>
            <sz val="8"/>
            <rFont val="Tahoma"/>
            <family val="2"/>
          </rPr>
          <t xml:space="preserve">
no hace parte del ingreso base de cotización (IBC)</t>
        </r>
      </text>
    </comment>
    <comment ref="K111" authorId="0">
      <text>
        <r>
          <rPr>
            <b/>
            <sz val="8"/>
            <rFont val="Tahoma"/>
            <family val="2"/>
          </rPr>
          <t xml:space="preserve"> :</t>
        </r>
        <r>
          <rPr>
            <sz val="8"/>
            <rFont val="Tahoma"/>
            <family val="2"/>
          </rPr>
          <t xml:space="preserve">
no hace parte del ingreso base de cotización (IBC)</t>
        </r>
      </text>
    </comment>
    <comment ref="K121" authorId="0">
      <text>
        <r>
          <rPr>
            <b/>
            <sz val="8"/>
            <rFont val="Tahoma"/>
            <family val="2"/>
          </rPr>
          <t xml:space="preserve"> :</t>
        </r>
        <r>
          <rPr>
            <sz val="8"/>
            <rFont val="Tahoma"/>
            <family val="2"/>
          </rPr>
          <t xml:space="preserve">
no hace parte del ingreso base de cotización (IBC)</t>
        </r>
      </text>
    </comment>
    <comment ref="K122" authorId="0">
      <text>
        <r>
          <rPr>
            <b/>
            <sz val="8"/>
            <rFont val="Tahoma"/>
            <family val="2"/>
          </rPr>
          <t xml:space="preserve"> :</t>
        </r>
        <r>
          <rPr>
            <sz val="8"/>
            <rFont val="Tahoma"/>
            <family val="2"/>
          </rPr>
          <t xml:space="preserve">
no hace parte del ingreso base de cotización (IBC)</t>
        </r>
      </text>
    </comment>
    <comment ref="D20" authorId="0">
      <text>
        <r>
          <rPr>
            <b/>
            <sz val="8"/>
            <rFont val="Tahoma"/>
            <family val="2"/>
          </rPr>
          <t xml:space="preserve"> :</t>
        </r>
        <r>
          <rPr>
            <sz val="8"/>
            <rFont val="Tahoma"/>
            <family val="2"/>
          </rPr>
          <t xml:space="preserve">
no hace parte del ingreso base de cotización (IBC)</t>
        </r>
      </text>
    </comment>
    <comment ref="D21" authorId="0">
      <text>
        <r>
          <rPr>
            <b/>
            <sz val="8"/>
            <rFont val="Tahoma"/>
            <family val="2"/>
          </rPr>
          <t xml:space="preserve"> :</t>
        </r>
        <r>
          <rPr>
            <sz val="8"/>
            <rFont val="Tahoma"/>
            <family val="2"/>
          </rPr>
          <t xml:space="preserve">
no hace parte del ingreso base de cotización (IBC)</t>
        </r>
      </text>
    </comment>
    <comment ref="D361" authorId="0">
      <text>
        <r>
          <rPr>
            <b/>
            <sz val="8"/>
            <rFont val="Tahoma"/>
            <family val="2"/>
          </rPr>
          <t xml:space="preserve"> :</t>
        </r>
        <r>
          <rPr>
            <sz val="8"/>
            <rFont val="Tahoma"/>
            <family val="2"/>
          </rPr>
          <t xml:space="preserve">
no hace parte del ingreso base de cotización (IBC)</t>
        </r>
      </text>
    </comment>
    <comment ref="D362" authorId="0">
      <text>
        <r>
          <rPr>
            <b/>
            <sz val="8"/>
            <rFont val="Tahoma"/>
            <family val="2"/>
          </rPr>
          <t xml:space="preserve"> :</t>
        </r>
        <r>
          <rPr>
            <sz val="8"/>
            <rFont val="Tahoma"/>
            <family val="2"/>
          </rPr>
          <t xml:space="preserve">
no hace parte del ingreso base de cotización (IBC)</t>
        </r>
      </text>
    </comment>
  </commentList>
</comments>
</file>

<file path=xl/sharedStrings.xml><?xml version="1.0" encoding="utf-8"?>
<sst xmlns="http://schemas.openxmlformats.org/spreadsheetml/2006/main" count="2948" uniqueCount="1205">
  <si>
    <t>APELLIDOS Y NOMBRES</t>
  </si>
  <si>
    <t>CODIGO</t>
  </si>
  <si>
    <t>GRADO</t>
  </si>
  <si>
    <t>GASTOS DE REPRESENTACION</t>
  </si>
  <si>
    <t>PRIMA DE ANTIGÜEDAD</t>
  </si>
  <si>
    <t>PRIMA DE VACACIONES</t>
  </si>
  <si>
    <t>TOTAL DEVENGADO</t>
  </si>
  <si>
    <t>AGUDELO HERNANDEZ CLAUDIA DEL TRANSITO</t>
  </si>
  <si>
    <t>NARANJO POLANIA LUCIA MAGDALENA</t>
  </si>
  <si>
    <t>DIRECTORA GENERAL</t>
  </si>
  <si>
    <t>TOTAL</t>
  </si>
  <si>
    <t>NOMBRE</t>
  </si>
  <si>
    <t>CARGO</t>
  </si>
  <si>
    <t>PORCENTAJE DE PRIMA TECNICA</t>
  </si>
  <si>
    <t>ASIGNACION BASICA</t>
  </si>
  <si>
    <t xml:space="preserve"> </t>
  </si>
  <si>
    <t>AUXILIAR ADMINISTRATIVO</t>
  </si>
  <si>
    <t>INSTITUTO DISTRITAL DE TURISMO</t>
  </si>
  <si>
    <t>NIT 900.140.515-6</t>
  </si>
  <si>
    <t>PROCEDIMIENTO No. 1</t>
  </si>
  <si>
    <t>Cesantias e Intereses cesantias</t>
  </si>
  <si>
    <t>Aporte Pensión</t>
  </si>
  <si>
    <t>Fondo de Solidaridad</t>
  </si>
  <si>
    <t xml:space="preserve">Aporte voluntario </t>
  </si>
  <si>
    <t>ASIGNACION  NETA</t>
  </si>
  <si>
    <t>30% Y 25%</t>
  </si>
  <si>
    <t>VALOR PROMEDIO (1 mes)</t>
  </si>
  <si>
    <t>UPAC ,SALUD Y EDUCACION</t>
  </si>
  <si>
    <t>BASE DE RETENCION</t>
  </si>
  <si>
    <t>PORCENTAJE RETE FUENTE</t>
  </si>
  <si>
    <t>VALOR DE LA UVT</t>
  </si>
  <si>
    <t>PROCEDIMIENTO No. 2</t>
  </si>
  <si>
    <t>N. DE IDENTIFICACION</t>
  </si>
  <si>
    <t>ASIGNACION MENSUAL</t>
  </si>
  <si>
    <t>PORCENTAJE</t>
  </si>
  <si>
    <t>SUELDO DE VACACIONES</t>
  </si>
  <si>
    <t>BONIFICACION POR RECREACION</t>
  </si>
  <si>
    <t>TOTAL PAGO DE VACACIONES</t>
  </si>
  <si>
    <t>Nº</t>
  </si>
  <si>
    <t xml:space="preserve">PORCENTAJE </t>
  </si>
  <si>
    <t>PRIMA TÉCNICA MENSUAL</t>
  </si>
  <si>
    <t>VALOR  BASE RETEN. EN UVT -,343</t>
  </si>
  <si>
    <t>VR AHORRO</t>
  </si>
  <si>
    <t>CUENTA Nº</t>
  </si>
  <si>
    <t>TOTAL AHORROS</t>
  </si>
  <si>
    <t>VALOR  BASE RETEN. EN UVT +23,36</t>
  </si>
  <si>
    <t>VALOR  BASE RETEN. EN UVT 2,47</t>
  </si>
  <si>
    <t>VALOR  BASE RETEN. EN UVT  21,68</t>
  </si>
  <si>
    <t>VALOR  BASE RETEN. EN UVT 15,32</t>
  </si>
  <si>
    <t>VALOR  BASE RETEN. EN UVT 10,28</t>
  </si>
  <si>
    <t>DEVENGADOS DEL MES</t>
  </si>
  <si>
    <t xml:space="preserve">AHORROS EN CUENTAS A.F.C. </t>
  </si>
  <si>
    <t>INCAPACIDADES</t>
  </si>
  <si>
    <t>% GASTOS DE REPRESENTACION</t>
  </si>
  <si>
    <t>INCAPACIDAD</t>
  </si>
  <si>
    <t>SUELDO POR INCAPACIDAD</t>
  </si>
  <si>
    <t>GTOS. REPRESENTACION POR INCAPACIDAD</t>
  </si>
  <si>
    <t>PRIMA TECNICA POR INCAPACIDAD</t>
  </si>
  <si>
    <t>DIAS INCAPACIDAD MENOS 3 DIAS</t>
  </si>
  <si>
    <t>VALOR  DE LA UVT</t>
  </si>
  <si>
    <t xml:space="preserve">VALOR BONIFICACIÓN </t>
  </si>
  <si>
    <t>SUBDIRECTOR DE GESTION CORPORATIVA Y CTROL. DISCIPLINARIO</t>
  </si>
  <si>
    <t>vr máximo</t>
  </si>
  <si>
    <t>PRIMA DE ANTIGÜEDAD POR INCAPACIDAD</t>
  </si>
  <si>
    <t>SORAIDA LUCIA DIAZ AMEZQUITA</t>
  </si>
  <si>
    <t>AFC MAX 30% DEL INGR. LABORAL</t>
  </si>
  <si>
    <t>SUELDO DE VACACIONES - DIAS</t>
  </si>
  <si>
    <t>PRIMA DE VACACIONES (DIAS)</t>
  </si>
  <si>
    <t>APORTES OBLIGATORIOS A SALUD DEL TRABAJADOR</t>
  </si>
  <si>
    <t>Aporte voluntario  AFC</t>
  </si>
  <si>
    <t>año 2009</t>
  </si>
  <si>
    <t>intereses prestamo hipotecario, hasta 100 UVT $2,376,300 en 2009</t>
  </si>
  <si>
    <t>MARTINEZ GUERRERO ISMAEL</t>
  </si>
  <si>
    <t>15% max.</t>
  </si>
  <si>
    <t>(104-95)*19%</t>
  </si>
  <si>
    <t xml:space="preserve">REVISAR PROXIMO MES </t>
  </si>
  <si>
    <r>
      <t>UPAC ,</t>
    </r>
    <r>
      <rPr>
        <sz val="9"/>
        <color indexed="10"/>
        <rFont val="Verdana"/>
        <family val="2"/>
      </rPr>
      <t>SALUD Y EDUCACION</t>
    </r>
  </si>
  <si>
    <t>BORDA CHOCONTA MARÍA JUDITH</t>
  </si>
  <si>
    <t>(110-95)*19%</t>
  </si>
  <si>
    <t>(87-95)*19%</t>
  </si>
  <si>
    <t>(109-95)*19%</t>
  </si>
  <si>
    <r>
      <t>UPAC ,</t>
    </r>
    <r>
      <rPr>
        <sz val="9"/>
        <color indexed="10"/>
        <rFont val="Verdana"/>
        <family val="2"/>
      </rPr>
      <t>SALUD Y EDUCACION</t>
    </r>
  </si>
  <si>
    <t>CON PROC. 2</t>
  </si>
  <si>
    <r>
      <t>UPAC ,</t>
    </r>
    <r>
      <rPr>
        <sz val="9"/>
        <color indexed="10"/>
        <rFont val="Verdana"/>
        <family val="2"/>
      </rPr>
      <t>SALUD Y EDUCACION</t>
    </r>
  </si>
  <si>
    <t>RETENCION  CON PROC. 1</t>
  </si>
  <si>
    <t>VALOR UVT/09</t>
  </si>
  <si>
    <t>(80,00-95)*19%</t>
  </si>
  <si>
    <t>AMAYA PAEZ ALBERTO ANTONIO</t>
  </si>
  <si>
    <t>CON PROC. 1</t>
  </si>
  <si>
    <t>VALOR  BASE RETEN. EN UVT 18.68</t>
  </si>
  <si>
    <t>ELABORO: ALBERTO A. AMAYA</t>
  </si>
  <si>
    <t>VALOR  BASE RETEN. EN UVT 101</t>
  </si>
  <si>
    <t>(101-95)*19%</t>
  </si>
  <si>
    <t>(137-95)*19%</t>
  </si>
  <si>
    <t>DUARTE AREVALO DORIS YOMAIRA</t>
  </si>
  <si>
    <t>(98-95)*19%</t>
  </si>
  <si>
    <t>(154-150)*28%+10</t>
  </si>
  <si>
    <t>(164-150)*28%+10</t>
  </si>
  <si>
    <t>(99-95)*19%</t>
  </si>
  <si>
    <t>(209-150)*28%+10</t>
  </si>
  <si>
    <t>(113-95)*19%</t>
  </si>
  <si>
    <t>(163-150)*28%+10</t>
  </si>
  <si>
    <t>VALOR UVT/10</t>
  </si>
  <si>
    <t>(119-95)*19%</t>
  </si>
  <si>
    <t>(150-95)*19</t>
  </si>
  <si>
    <t>(132-95)*19%</t>
  </si>
  <si>
    <t>(102-95)*19%</t>
  </si>
  <si>
    <t>MÉNDEZ BECERRA ANDRÉS ALFONSO</t>
  </si>
  <si>
    <t xml:space="preserve">DIRECTOR GENERAL </t>
  </si>
  <si>
    <t xml:space="preserve">REVISO: </t>
  </si>
  <si>
    <t xml:space="preserve">Gastos de Representación </t>
  </si>
  <si>
    <t>Auxilio de Alimentación</t>
  </si>
  <si>
    <t>BONIFICACION POR SERVICIOS</t>
  </si>
  <si>
    <t>Prima de Antigüedad</t>
  </si>
  <si>
    <t>DESDE</t>
  </si>
  <si>
    <t>HASTA</t>
  </si>
  <si>
    <t>FECHA INGRESO</t>
  </si>
  <si>
    <t xml:space="preserve">Profesional Universitario </t>
  </si>
  <si>
    <t>Asesor</t>
  </si>
  <si>
    <t xml:space="preserve">Auxiliar Administrativo </t>
  </si>
  <si>
    <r>
      <t>•</t>
    </r>
    <r>
      <rPr>
        <sz val="28"/>
        <rFont val="Arial"/>
        <family val="2"/>
      </rPr>
      <t xml:space="preserve">Es equivalente al cincuenta por ciento (50%) del valor conjunto de la asignación básica mensual, la prima de antigüedad y los gastos de representación, siempre que no devengue una remuneración mensual por concepto de asignación básica y gastos de representación superior a novecientos noventa y cinco mil novecientos cuarenta y nueve pesos ($995.949) moneda corriente, (2007).
  </t>
    </r>
  </si>
  <si>
    <r>
      <t>•</t>
    </r>
    <r>
      <rPr>
        <sz val="28"/>
        <rFont val="Arial"/>
        <family val="2"/>
      </rPr>
      <t xml:space="preserve">Para los demás empleados, la bonificación por servicios prestados será equivalente al treinta y cinco por ciento (35%) del valor conjunto de los factores de salario señalados en el inciso anterior. </t>
    </r>
  </si>
  <si>
    <t>GASTOS  DE REPRESENTACION</t>
  </si>
  <si>
    <t xml:space="preserve">ASIGNACION BASICA </t>
  </si>
  <si>
    <t>REVISÓ:     DORIS YOMAIRA DUARTE AREVALO - PROFESIONAL ESPECIALIZADA</t>
  </si>
  <si>
    <t>SUBDIRECTOR GESTION CORPORATIVA Y CONTROL DISCIPLINARIO</t>
  </si>
  <si>
    <t>1/12 Prima de Servicios Cancelada en Junio 2011</t>
  </si>
  <si>
    <t xml:space="preserve">ELABORO: ALEXIS CARRANZA MORENO - PROFESIONAL CONTRATISTA </t>
  </si>
  <si>
    <t>Bonificación Recreación (2 Días Sueldo básico)</t>
  </si>
  <si>
    <t>ENTIDAD</t>
  </si>
  <si>
    <t>Subtotal</t>
  </si>
  <si>
    <t>|</t>
  </si>
  <si>
    <t>CEDULA</t>
  </si>
  <si>
    <t>TIPO</t>
  </si>
  <si>
    <t xml:space="preserve"> APELLIDOS TITULAR</t>
  </si>
  <si>
    <t>DENOMINACIÓN DEL EMPLEO</t>
  </si>
  <si>
    <t>CÓD.</t>
  </si>
  <si>
    <t>GR.</t>
  </si>
  <si>
    <t>TOTAL DESCUENTOS SOBRE APORTES</t>
  </si>
  <si>
    <t>MAXIMO PERMITIDO EL 30% DEL DEVENGADO</t>
  </si>
  <si>
    <t>TOTAL INGRESOS GRAVADOS</t>
  </si>
  <si>
    <t xml:space="preserve">SALUD Y EDUCACIÓN </t>
  </si>
  <si>
    <t>VIVIENDA</t>
  </si>
  <si>
    <t>GRAN TOTAL BASE GRAVABLE</t>
  </si>
  <si>
    <t>UPAC PERNO</t>
  </si>
  <si>
    <t>TIEMPO EN MESES</t>
  </si>
  <si>
    <t>EDUCACIÓN 2011</t>
  </si>
  <si>
    <t>PLAN COMPL. 2010</t>
  </si>
  <si>
    <t>PLAN COMPL. 2011</t>
  </si>
  <si>
    <t>DEDUCCION MÁXIMA LEY</t>
  </si>
  <si>
    <t>INTERESES 2010</t>
  </si>
  <si>
    <t>INTERESES  2011</t>
  </si>
  <si>
    <t>CORRECCIÓN MONETARIA 2010</t>
  </si>
  <si>
    <t>CORRECCIÓN MONETARIA 2011</t>
  </si>
  <si>
    <t>ACUMULADO PARA VIVIENDA</t>
  </si>
  <si>
    <t>MONTO MAXIMO A DEDUCIR SEGÚN LA LEY 100 uvt</t>
  </si>
  <si>
    <t>ACUMULADOS PARA EDUCACION Y SALUD</t>
  </si>
  <si>
    <t>MAX. SEGÚN LA NORMA, 30%</t>
  </si>
  <si>
    <t>C</t>
  </si>
  <si>
    <t>Profesional Especializado</t>
  </si>
  <si>
    <t>12 meses</t>
  </si>
  <si>
    <t>2</t>
  </si>
  <si>
    <t>Conductor</t>
  </si>
  <si>
    <t>Secretario Ejecutivo</t>
  </si>
  <si>
    <t>Técnico Administrativo</t>
  </si>
  <si>
    <t>Subdirector Técnico</t>
  </si>
  <si>
    <t>1</t>
  </si>
  <si>
    <t>Director General</t>
  </si>
  <si>
    <t>RANGOS INGRESO LABORAL GRAVADO (ILG)</t>
  </si>
  <si>
    <t>RANGOS UVT</t>
  </si>
  <si>
    <t>TARIFA MARGINAL</t>
  </si>
  <si>
    <t>IMPUESTO</t>
  </si>
  <si>
    <t>rango 1</t>
  </si>
  <si>
    <t>&gt;0</t>
  </si>
  <si>
    <t>rango 2</t>
  </si>
  <si>
    <t>&gt;95</t>
  </si>
  <si>
    <t>INGRESO LABORAL EN UVT MENOS 95 UVT POR 19%</t>
  </si>
  <si>
    <t>rango 3</t>
  </si>
  <si>
    <t>&gt;150</t>
  </si>
  <si>
    <t>INGRESO LABORAL EN UVT MENOS 150 UVT POR 28% MAS 10 UVT</t>
  </si>
  <si>
    <t>rango 4</t>
  </si>
  <si>
    <t>&gt;360</t>
  </si>
  <si>
    <t>ILG</t>
  </si>
  <si>
    <t>RANGOS</t>
  </si>
  <si>
    <t>UVT</t>
  </si>
  <si>
    <t>BASE DE RETENCIÓN</t>
  </si>
  <si>
    <t>VR. UVTS</t>
  </si>
  <si>
    <t>VR. EN PESOS</t>
  </si>
  <si>
    <t>PROCEDIMIENTO</t>
  </si>
  <si>
    <t xml:space="preserve">Aportes Salud Promedio Periodo </t>
  </si>
  <si>
    <r>
      <t xml:space="preserve">INGRESO LABORAL EN UVT MENOS 360 UVT POR </t>
    </r>
    <r>
      <rPr>
        <b/>
        <sz val="8"/>
        <color indexed="10"/>
        <rFont val="Arial"/>
        <family val="2"/>
      </rPr>
      <t xml:space="preserve">33% </t>
    </r>
    <r>
      <rPr>
        <sz val="8"/>
        <rFont val="Arial"/>
        <family val="2"/>
      </rPr>
      <t>MAS 69 UVT</t>
    </r>
  </si>
  <si>
    <t>Procedimiento Retencion</t>
  </si>
  <si>
    <t xml:space="preserve">Descuentos por aportes voluntarios empleado en el mismo periodo. </t>
  </si>
  <si>
    <t>Descuentos por F.S. del mismo periodo.</t>
  </si>
  <si>
    <t>Descuentos por AFP del mismo periodo.</t>
  </si>
  <si>
    <t>Subtotal Base Gravable</t>
  </si>
  <si>
    <t>Menos Rentas Exentas 25% del Subtotal Base Gravable.</t>
  </si>
  <si>
    <t>Diás Laborados</t>
  </si>
  <si>
    <t>Ingreso Mensual Promedio (Dividido en los dias)</t>
  </si>
  <si>
    <t xml:space="preserve">                  SUELDO DE VACACIONES         </t>
  </si>
  <si>
    <t xml:space="preserve">Asignación Básica </t>
  </si>
  <si>
    <t>Prima Técnica</t>
  </si>
  <si>
    <t xml:space="preserve">                                                                                      Nº DE DIAS  CALENDARIO                </t>
  </si>
  <si>
    <t>ELABORÓ:  ALEXIS CARRANZA MORENO - PROFESIONAL CONTRATISTA</t>
  </si>
  <si>
    <t>REVISÓ:      ALBERTO ANTONIO AMAYA PÁEZ - PROFESIONAL UNIVERSITARIO</t>
  </si>
  <si>
    <t>REVISÓ:      DORIS YOMAIRA DUARTE AREVALO - PROFESIONAL ESPECIALIZADO</t>
  </si>
  <si>
    <t>Secretaria Ejecutiva</t>
  </si>
  <si>
    <t xml:space="preserve">BANCO CAJA SOCIAL </t>
  </si>
  <si>
    <t xml:space="preserve">Total Ingresos </t>
  </si>
  <si>
    <t>Total Ingresos descontando AFC</t>
  </si>
  <si>
    <t>BANCO DAVIVIENDA</t>
  </si>
  <si>
    <t>ANGEL PARRA LUZ AIDA</t>
  </si>
  <si>
    <t>REANUDACIÓN SUELDO DE VACACIONES</t>
  </si>
  <si>
    <t>REANUADACIÓN PRIMA DE VACACIONES</t>
  </si>
  <si>
    <t>TOTAL PAGO REANUDACIÓN DE VACACIONES</t>
  </si>
  <si>
    <t>DIRECTOR GENERAL</t>
  </si>
  <si>
    <t>Diferencia</t>
  </si>
  <si>
    <t xml:space="preserve">                                                                                         Nº DE DIAS  CALENDARIO       </t>
  </si>
  <si>
    <t>SUELDO DE VACACIONES - 23 DIAS</t>
  </si>
  <si>
    <t>PRIMA DE VACACIONES - 15 DIAS</t>
  </si>
  <si>
    <t>SUELDO DE VACACIONES - 22 DIAS</t>
  </si>
  <si>
    <t>PERIODO DE VACACIONES CORRESPONDIENTES DEL 17/04/2011 AL 16/04/2012</t>
  </si>
  <si>
    <t>DISFRUTE ENTRE EL 12 DE JUNIO DE 2012 AL 04 DE JULIO DE 2012</t>
  </si>
  <si>
    <t>REINTEGRO A LABORES 05 DE JULIO DE 2012</t>
  </si>
  <si>
    <t>1/12 Bonificación Servicios Prestados Cancelada en Abril 2012</t>
  </si>
  <si>
    <t>PENSIONES VOLUNTARIAS</t>
  </si>
  <si>
    <t>Pensiones Proteccion</t>
  </si>
  <si>
    <t>Aporte AFC / AFP</t>
  </si>
  <si>
    <t>CUENTA BANCOLOMBIA Nº</t>
  </si>
  <si>
    <t xml:space="preserve">NOMBRE : </t>
  </si>
  <si>
    <t xml:space="preserve"> CODIGO GRADO </t>
  </si>
  <si>
    <t xml:space="preserve">CODIGO  GRADO </t>
  </si>
  <si>
    <t>NOMBRE :</t>
  </si>
  <si>
    <t>REANUDACION DE VACACIONES CORRESPONDIENTES DEL 03/03/2010 AL 02/03/2011</t>
  </si>
  <si>
    <t>Valor día 2011</t>
  </si>
  <si>
    <t>Valor día 2012</t>
  </si>
  <si>
    <t xml:space="preserve">                                                        Nº DE DIAS  CALENDARIO                </t>
  </si>
  <si>
    <t xml:space="preserve">                                                          Nº DE DIAS  CALENDARIO                </t>
  </si>
  <si>
    <t xml:space="preserve">                                                                               Nº DE DIAS  CALENDARIO       </t>
  </si>
  <si>
    <t>REINTEGRO A LABORES 17 DE JULIO DE 2012</t>
  </si>
  <si>
    <t>SUELDO DE VACACIONES - 25 DIAS</t>
  </si>
  <si>
    <t>1/12 Prima de Servicios Cancelada en Junio 2012</t>
  </si>
  <si>
    <t>1/12 Prima de Servicios Cancelada en Junio 2011 - 2012</t>
  </si>
  <si>
    <t>REANUDACION DE VACACIONES CORRESPONDIENTES DEL 8/09/2010 AL 7/09/2011</t>
  </si>
  <si>
    <t xml:space="preserve">DISFRUTE REANUDACION ENTRE EL 25 DE JUNIO DE 2012 AL 16 DE JULIO DE 2012 </t>
  </si>
  <si>
    <t>Valor día 052012</t>
  </si>
  <si>
    <t>Valor día 062012</t>
  </si>
  <si>
    <t xml:space="preserve">1/12 Bonificación Servicios Prestados Cancelada en Septiembre 2011 </t>
  </si>
  <si>
    <t>INSTITUTO DISTRITAL DE TURISMO
NIT 900.140.515-6
MES DE JULIO 2012</t>
  </si>
  <si>
    <t xml:space="preserve">CODIGO GRADO </t>
  </si>
  <si>
    <t xml:space="preserve">REVISÓ:     ALBERTO ANTONIO AMAYA PÁEZ - PROFESIONAL UNIVERSITARIO </t>
  </si>
  <si>
    <t>REVISÓ:       DEISY AMPARO MURCIA RODRIGUEZ - PROFESIONAL CONTABILIDAD(E)</t>
  </si>
  <si>
    <t xml:space="preserve">REVISÓ:      ALBERTO ANTONIO AMAYA PÁEZ - PROFESIONAL UNIVERSITARIO </t>
  </si>
  <si>
    <t>SUELDO DE VACACIONES - 21 DIAS</t>
  </si>
  <si>
    <t xml:space="preserve">10 meses </t>
  </si>
  <si>
    <t xml:space="preserve">12 meses </t>
  </si>
  <si>
    <t>REVISÓ:       MARÍA JUDITH BORDA CHOCONTA - PROFESIONAL CONTABILIDAD(E)</t>
  </si>
  <si>
    <t>EDUCACIÓN 2012</t>
  </si>
  <si>
    <t>INSTITUTO DISTRITAL DE TURISMO
NIT 900.140.515-6
MES DE OCTUBRE 2012</t>
  </si>
  <si>
    <t xml:space="preserve">Profesional Especializado </t>
  </si>
  <si>
    <t>Subdirector Tecnico</t>
  </si>
  <si>
    <t>PERIODO DE VACACIONES CORRESPONDIENTES DEL 17/06/2010 AL 16/06/2011</t>
  </si>
  <si>
    <t xml:space="preserve">DISFRUTE REANUDACION ENTRE EL 9 DE NOVIEMBRE DE 2012 AL 20 DE NOVIEMBRE DE 2012 </t>
  </si>
  <si>
    <t>REINTEGRO A LABORES 21 DE NOVIEMBRE DE 2012</t>
  </si>
  <si>
    <t>1/12 Bonificación Servicios Prestados Cancelada en Junio 2011</t>
  </si>
  <si>
    <t>PROFESIONAL ESPECIALIZADO CODIGO 222 GRADO 04</t>
  </si>
  <si>
    <t xml:space="preserve">DISFRUTE REANUDACION ENTRE EL 26 DE OCTUBRE DE 2012 AL 7 DE NOVIEMBRE DE 2012 </t>
  </si>
  <si>
    <t>REINTEGRO A LABORES 8 DE NOVIEMBRE DE 2012</t>
  </si>
  <si>
    <t>1/12 Bonificación Servicios Prestados Cancelada en Octubre 2011 - 2012</t>
  </si>
  <si>
    <t>REVISÓ:     MARÍA JUDITH BORDA CHOCONTA - PROFESIONAL CONTABILIDAD(E)</t>
  </si>
  <si>
    <t>PROFESIONAL ESPECILIZADO</t>
  </si>
  <si>
    <t>PERIODO DE VACACIONES CORRESPONDIENTES DEL 03/03/2011 - 02/03/2012</t>
  </si>
  <si>
    <t>1/12 Bonificación Servicios Prestados Cancelada en marzo 2012</t>
  </si>
  <si>
    <t xml:space="preserve">CODIGO 105 GRADO 02 </t>
  </si>
  <si>
    <t>DISFRUTE ENTRE EL 19 DE DICIEMBRE Y EL 13 DE ENERO DE 2013</t>
  </si>
  <si>
    <t>REINTEGRO A LABORES 14 DE ENERO DE 2013</t>
  </si>
  <si>
    <t xml:space="preserve">CODIGO 222 GRADO 04 </t>
  </si>
  <si>
    <t>DISFRUTE ENTRE EL 20 DE DICIEMBRE DE 2012 AL 14 DE ENERO DE 2013</t>
  </si>
  <si>
    <t>REINTEGRO A LABORES 15 DE ENERO DE 2013</t>
  </si>
  <si>
    <t>INSTITUTO DISTRITAL DE TURISMO
NIT 900.140.515-6
MES DE DICIEMBRE 2012</t>
  </si>
  <si>
    <t xml:space="preserve">CODIGO 425 GRADO 02 </t>
  </si>
  <si>
    <t>PERIODO DE VACACIONES CORRESPONDIENTES DEL 12/09/2011 AL 11/09/2012</t>
  </si>
  <si>
    <t>DISFRUTE ENTRE EL 08 DE ENERO DE 2013 AL 28 DE ENERO DE 2013</t>
  </si>
  <si>
    <t>1/12 Bonificación Servicios Prestados Cancelada en Septiembre 2012</t>
  </si>
  <si>
    <t>CODIGO 425 GRADO 02</t>
  </si>
  <si>
    <t xml:space="preserve">                                                    Nº DE DIAS  CALENDARIO                </t>
  </si>
  <si>
    <t>DISFRUTE ENTRE EL 02 DE ENERO Y EL 23 DE ENERO DE 2013</t>
  </si>
  <si>
    <t>REINTEGRO A LABORES 24 DE ENERO DE 2013</t>
  </si>
  <si>
    <r>
      <t xml:space="preserve">1/12 Bonificación Servicios Prestados Cancelada en noviembre </t>
    </r>
    <r>
      <rPr>
        <sz val="10"/>
        <rFont val="Arial"/>
        <family val="2"/>
      </rPr>
      <t>2012</t>
    </r>
  </si>
  <si>
    <t>PERIODO DE VACACIONES CORRESPONDIENTES DEL  25/11/2012 - 24/11/2012</t>
  </si>
  <si>
    <t>NOMBRE :  CLAUDIA BEATRIZ MURCIA LINARES</t>
  </si>
  <si>
    <t>PERIODO DE VACACIONES CORRESPONDIENTES DEL 26/10/2011 AL 25/10/2012</t>
  </si>
  <si>
    <t>1/12 Bonificación Servicios Prestados Cancelada en Octubre 2012</t>
  </si>
  <si>
    <t xml:space="preserve">SUELDO DE VACACIONES </t>
  </si>
  <si>
    <t>REINTEGRO A LABORES 29 DE ENERO DE 2013</t>
  </si>
  <si>
    <t>DISFRUTE ENTRE EL 02 DE ENERO DE 2013 AL 23 DE ENERO DE 2013</t>
  </si>
  <si>
    <t>PERIODO DE VACACIONES CORRESPONDIENTES DEL 08/10/2010 AL 07/10/2011</t>
  </si>
  <si>
    <t xml:space="preserve">PERIODO DE VACACIONES CORRESPONDIENTES DEL 04/05/2011 al 03/05/2012 </t>
  </si>
  <si>
    <r>
      <t xml:space="preserve">1/12 Bonificación Servicios Prestados Cancelada en mayo </t>
    </r>
    <r>
      <rPr>
        <sz val="10"/>
        <rFont val="Arial"/>
        <family val="2"/>
      </rPr>
      <t>2012</t>
    </r>
  </si>
  <si>
    <t>DISFRUTE ENTRE EL 02 DE ENERO DE 2013 Y EL 23 DE ENERO DE 2013</t>
  </si>
  <si>
    <t xml:space="preserve">NOMBRE :  </t>
  </si>
  <si>
    <t xml:space="preserve">PROFESIONAL UNIVERSITARIO CODIGO XXX GRADO XX </t>
  </si>
  <si>
    <t>4,600 uvt $26,841</t>
  </si>
  <si>
    <t>CONDUCTOR</t>
  </si>
  <si>
    <t>DIRECCION GENERAL</t>
  </si>
  <si>
    <t>PROFESIONAL ESPECIALIZADO</t>
  </si>
  <si>
    <t>PROFESIONAL UNIVERSITARIO</t>
  </si>
  <si>
    <t>ASESOR</t>
  </si>
  <si>
    <t>TECNICO ADMINISTRATIVO</t>
  </si>
  <si>
    <t>ECHAVARRIA REINA  NATALIA ANDREA</t>
  </si>
  <si>
    <t>SECRETARIA EJECUTIVA</t>
  </si>
  <si>
    <t>DEPENDENCIA</t>
  </si>
  <si>
    <t>MAIL</t>
  </si>
  <si>
    <t>COMUNICACIONES</t>
  </si>
  <si>
    <t>claudia.agudelo@idt.gov.co</t>
  </si>
  <si>
    <t>SUBDIRECCIÓN DE PROMOCIÓN Y MERCADEO</t>
  </si>
  <si>
    <t>SUBDIRECTOR TÉCNICO</t>
  </si>
  <si>
    <t>SUBDIRECCIÓN DE GESTIÓN CORPORATIVA Y CONTROL DISCIPLINARIO</t>
  </si>
  <si>
    <t>alberto.amaya@idt.gov.co</t>
  </si>
  <si>
    <t>luz.angel@idt.gov.co</t>
  </si>
  <si>
    <t>SUBDIRECCION DE GESTIÓN DE DESTINO</t>
  </si>
  <si>
    <t>natalia.echavarria@idt.gov.co</t>
  </si>
  <si>
    <t>OBSERVATORIO DE TURISMO</t>
  </si>
  <si>
    <t>CONTROL INTERNO</t>
  </si>
  <si>
    <t xml:space="preserve">RAMÍREZ ORÓZCO JORGE DANIEL </t>
  </si>
  <si>
    <t>jorge.ramirez@idt.gov.co</t>
  </si>
  <si>
    <t>SUBDIRECCIÓN DE GESTIÓN DEL DESTINO</t>
  </si>
  <si>
    <t>JEFE OFICINA ASESORA</t>
  </si>
  <si>
    <t>OFICINA ASESORA JURIDICA</t>
  </si>
  <si>
    <t>Formular las políticas institucionales en coordinación con la Junta Directiva y definir, adoptar y dirigir los planes, programas y proyectos que deben ejecutar las dependencias de la entidad para lograr el cumplimiento de la misión y los objetivos institucionales.</t>
  </si>
  <si>
    <t>Dirigir los procesos relacionados con el manejo del talento humano, físicos y financieros, disciplinarios de primera instancia, quejas y soluciones y servicios generales del Instituto Distrital de Turismo para el logro de la misión institucional.</t>
  </si>
  <si>
    <t>Dirigir lo relacionado con los asuntos jurídicos, la contratación y la defensa judicial con el fin de lograr que las actividades se desarrollen de acuerdo con la normatividad vigente y contribuir a la prevención del daño antijurídico.</t>
  </si>
  <si>
    <t>Asesorar a la Dirección en los análisis, investigaciones y evaluaciones del turismo en la ciudad, que facilite la toma de decisiones para el desarrollo y consolidación de los programas y proyectos de la entidad en materia turística y permita la articulación de acciones de entidades públicas y privadas del sector.</t>
  </si>
  <si>
    <t>Asesorar en el establecimiento de acciones, políticas, métodos, procedimientos y mecanismos de prevención, control, evaluación y de mejoramiento continuo para el cumplimiento de la misión y objetivos de la entidad.</t>
  </si>
  <si>
    <t>Asesorar en materia de comunicaciones, prensa, imagen corporativa e institucional y su retroalimentación, tendientes a posicionar su liderazgo y dar a conocer las políticas, planes, programas, estrategias y actividades del de la entidad con el fin de fortalecer la imagen corporativa de la Entidad y de Bogotá como destino turístico en los ámbitos local, nacional e internacional.</t>
  </si>
  <si>
    <t>Asesorar al Director/a General en el diseño, formulación, ejecución y seguimiento de las acciones que emprenda el Instituto Distrital de Turismo – IDT, dirigidas al logro de la misión y visión institucionales en el marco del Plan de Desarrollo.</t>
  </si>
  <si>
    <t>Diseñar y ejecutar los programas, proyectos y actividades para el desarrollo de productos turísticos de Bogotá y su entorno regional acorde con las tipologías definidas en la Política Distrital de Turismo y la vocación de la ciudad.</t>
  </si>
  <si>
    <t>Proyectar y desarrollar los programas, proyectos y actividades relacionados con la calidad y la Sostenibilidad Turística en el Distrito Capital, la responsabilidad social y el fomento de la apropiación de ciudad hacia el sector, de acuerdo con los objetivos trazados por la Política Distrital de Turismo.</t>
  </si>
  <si>
    <t>Ejecutar los programas, proyectos y actividades relacionadas con el desarrollo turístico en las localidades, en particular sobre el fortalecimiento empresarial y la gestión local de la actividad turística en las localidades.</t>
  </si>
  <si>
    <t>Realizar las actividades necesarias para la planificación turística del territorio así como adelantar la gestión correspondiente para la adecuación de los atractivos emblemáticos de la ciudad, promoviendo y facilitando el desarrollo del sector turístico en el Distrito Capital.</t>
  </si>
  <si>
    <t>Elaborar y desarrollar los programas, proyectos y actividades relacionadas con el alistamiento, fortalecimiento y puesta en valor de los recursos, infraestructura y atractivos turísticos de la ciudad y la región, con miras a aumentar la competitividad del destino turístico.</t>
  </si>
  <si>
    <t>Realizar el diseño y ejecución de actividades comerciales, de mercadeo y de seguimiento, que favorezcan la promoción y el posicionamiento de Bogotá como destino turístico, a través de la articulación de los sectores público y privado, con el esfuerzo conjunto de operadores mayoristas, minoristas y gremios, de acuerdo con la normatividad vigente y los objetivos trazados.</t>
  </si>
  <si>
    <t>Diseñar programas, proyectos y actividades relacionadas con la promoción y divulgación de Bogotá como destino turístico, para ser difundidos en los ámbitos local, nacional e internacional, de acuerdo con la Política Distrital de Turismo, los objetivos de la entidad y los requerimientos del mercado objetivo.</t>
  </si>
  <si>
    <t>Gestionar el desarrollo y control de los proyectos relacionados con planes turísticos, a través de las actividades comerciales, de mercado y de seguimiento a la labor de generación, promoción y venta de los mismos, de acuerdo con la normatividad vigente y los objetivos trazados por el IDT.</t>
  </si>
  <si>
    <t>Planear, diseñar, formular e implementar las diferentes acciones que emprenda la Dirección General del Instituto en la ejecución de los programas, proyectos y procedimientos relacionados a la gestión de las comunicaciones internas y externas contribuyendo así al cumplimiento de la misión y objetivos institucionales.</t>
  </si>
  <si>
    <t>Responder y orientar las actividades relacionadas con infraestructura tecnológica, desarrollo y mantenimiento de software, proyectos de tecnología de información y de comunicaciones, de acuerdo con las políticas y estándares del Instituto, para proveer servicios y herramientas que permita garantizar el cumplimiento de los objetivos de la organización.</t>
  </si>
  <si>
    <t>Liderar el Sistema Integrado de Gestión bajo los lineamientos legales vigentes, con el fin de promover la mejora continua en el Instituto, a través de la ejecución de diferentes acciones e involucrando al conjunto de procesos que lo conforman.</t>
  </si>
  <si>
    <t>Realizar las actividades relacionadas con la formulación y seguimiento de los proyectos de inversión de la entidad para garantizar el cumplimiento del Plan de Desarrollo.</t>
  </si>
  <si>
    <t>Brindar soporte jurídico en los procesos de contratación, adjudicación, celebración y liquidación de los actos y contratos que adelante el Instituto.</t>
  </si>
  <si>
    <t>Brindar soporte en lo relacionado con los asuntos jurídicos, la contratación y la defensa judicial de acuerdo a la normatividad vigente con el fin de lograr que las actividades se desarrollen de conformidad con los mandatos legales vigentes y contribuir a la prevención del daño antijurídico.</t>
  </si>
  <si>
    <t>Diseñar, desarrollar y evaluar los planes y programas del área de Talento Humano con el fin de promover el desarrollo integral de los funcionarios de la entidad alcanzando los objetivos propuestos.</t>
  </si>
  <si>
    <t>Realizar las actividades relacionadas con el proceso de correspondencia radicada en el Instituto, con el fin de cumplir las funciones, los objetivos y las metas del área, observando principios, normas archivísticas y los reglamentos establecidos en el instituto</t>
  </si>
  <si>
    <t>Realizar las actividades de tesorería en el Instituto Distrital de Turismo – IDT, correspondientes al recaudo y giro de dineros, el manejo de cuentas y la administración de recursos financieros, entre otras, aplicando las normas y los procedimientos establecidos en la materia.</t>
  </si>
  <si>
    <t>Apoyar a la entidad en el desarrollo de procesos y procedimientos administrativos así como en las actividades y funciones de la Subdirección de Promoción en especial lo que tiene que ver con la atención e información al turista.</t>
  </si>
  <si>
    <t>Desempeñar funciones de oficina y de asistencia administrativa encaminadas a facilitar el desarrollo y ejecución de las actividades de la Dependencia.</t>
  </si>
  <si>
    <t>Conducir el vehículo asignado y transportar a los superiores o personas que se le indique, observando cumplimiento de las normas de tránsito por su seguridad, la de las personas que transporte y del vehículo.</t>
  </si>
  <si>
    <t>Realizar las actividades relacionadas con el proceso de asistencia técnica, administrativa, correspondencia, con el fin de cumplir las funciones, los objetivos y las metas del área, observando principios, normas archivísticas y los reglamentos establecidos en la Entidad.</t>
  </si>
  <si>
    <t>Desarrollar las actividades relacionadas con el proceso administrativo y logístico en el Instituto, en temas relacionados con los servicios generales (vigilancia, transporte, aseo y cafetería, entre otros), de igual forma que el manejo de almacén e inventarios, para lograr el normal funcionamiento de la entidad en cumplimento de su misión institucional.</t>
  </si>
  <si>
    <t>Realizar las actividades enfocadas al mantenimiento del proceso de Gestión del Destino relacionado con el Sistema Integrado de Gestión, así como la mejora continua en la calidad de la prestación del servicio, siguiendo los lineamientos de la Política Distrital de Turismo.</t>
  </si>
  <si>
    <t>Desarrollar las labores encaminadas a la participación del Instituto en diferentes ferias y eventos, a nivel local, nacional y extranjero, así como organizar los que sean promovidos por este, con el fin de contribuir al posicionamiento de la ciudad como un destino turístico, dentro del sistema de calidad.</t>
  </si>
  <si>
    <t>Ejercer la función de Contador Público del Instituto de acuerdo a la normatividad vigente.</t>
  </si>
  <si>
    <t>Realizar la ejecución de los procesos y procedimientos del área de presupuesto de manera eficiente y oportuna de acuerdo con las orientaciones de la Dirección de Presupuesto, las políticas institucionales y el plan de desarrollo del Distrito Capital y el marco normativo.</t>
  </si>
  <si>
    <t>OFICINA ASESORA DE PLANEACIÓN</t>
  </si>
  <si>
    <t>Dar soporte profesional en la formulación y actualización de los planes, programas y proyectos del Instituto, realizando seguimiento a su ejecución, y elaborando informes que sean requeridos por el Instituto, organismos de control y demás agentes externos, conforme a la normatividad vigente.</t>
  </si>
  <si>
    <t>HEREDIA ORJUELA WILLIAM</t>
  </si>
  <si>
    <t>Desempeñar funciones de oficina y de asistencia administrativa, encaminadas a facilitar el desarrollo y ejecución de las actividades del Director General.</t>
  </si>
  <si>
    <t>william.heredia@idt.gov.co</t>
  </si>
  <si>
    <t>Efectuar las acciones relacionadas con los procesos de administración de personal y el desarrollo integral del talento humano al servicio de la entidad.</t>
  </si>
  <si>
    <t>MARTÍNEZ ERIN KRISTEL</t>
  </si>
  <si>
    <t>CARMONA ECHEVERRY LILIANA</t>
  </si>
  <si>
    <t>ARBELÁEZ CÁRDENAS VERÓNICA HELENA</t>
  </si>
  <si>
    <t>BENÍTEZ DÍAZ CAMILA ANDREA</t>
  </si>
  <si>
    <t>HERNÁNDEZ HERRERA NELCY ESPERANZA</t>
  </si>
  <si>
    <t>GUARÍN CORTÉS RENÉ</t>
  </si>
  <si>
    <t>PULIDO VARGAS JIMMY ALEJANDRO</t>
  </si>
  <si>
    <t>SARACHE SUÁREZ EDISON</t>
  </si>
  <si>
    <t>Realizar las actividades relacionadas con la gestión del talento humano, en lo correspondiente a la liquidación de nómina, seguridad social y prestaciones sociales, de acuerdo con las normas que regulan la materia y las disposiciones internas.</t>
  </si>
  <si>
    <t>MONTOYA CASTAÑO GERMAN ALBERTO</t>
  </si>
  <si>
    <t>liliana.carmona@idt.gov.co</t>
  </si>
  <si>
    <t>ROMERO MUÑÓZ YENNY ROCÍO</t>
  </si>
  <si>
    <t>yenny.romero@idt.gov.co</t>
  </si>
  <si>
    <t>WALTEROS ÁVILA ZULMA XIMENA</t>
  </si>
  <si>
    <t>zulma.walteros@idt.gov.co</t>
  </si>
  <si>
    <t>GALINDO CHARRIS CATALINA BEATRÍZ</t>
  </si>
  <si>
    <t>catalina.galindo@idt.gov.co</t>
  </si>
  <si>
    <t>PEÑA ROA EDWIN OSWALDO</t>
  </si>
  <si>
    <t>edwin.pena@idt.gov.co</t>
  </si>
  <si>
    <t>PEÑUELA ARIAS SANDRA PATRICIA</t>
  </si>
  <si>
    <t>LAGOS DUARTE DAMARIS</t>
  </si>
  <si>
    <t>Dirigir la formulación de las políticas del Instituto Distrital de Turismo en materia de planeación, sistema de gestión de calidad, formulación y ejecución de los planes, programas y proyectos, administración de las TIC y gestionar las actividades de seguimiento para el logro de objetivos y metas institucionales. IV</t>
  </si>
  <si>
    <t>Formular, controlar, coordinar y dirigir los planes, proyectos y programas a través de los cuales el Instituto cumpla con el objetivo misional de promocionar a Bogotá como destino turístico.</t>
  </si>
  <si>
    <t>Dirigir los planes, programas, proyectos y estrategias a través de los cuales el Instituto cumpla con los objetivos misionales para promover la gestión del destino que amplíe y fortalezca el desarrollo del producto turístico sostenible, fomente la industria del turismo, impulse el desarrollo empresarial, manejo ambiental e incorporación de la calidad en materia turística y coordine las entidades para la adecuada gestión de la ciudad como destino turístico con la región.</t>
  </si>
  <si>
    <t>HERRERA GARCÍA CÉSAR AUGUSTO</t>
  </si>
  <si>
    <t>RÍOS SARMIENTO DIANA PAOLA</t>
  </si>
  <si>
    <t>sandra.penuela@idt.gov.co</t>
  </si>
  <si>
    <t>TOVAR SILVA YOLANDA</t>
  </si>
  <si>
    <t>CARVAJAL CARRILLO DUMAR ERNESTO</t>
  </si>
  <si>
    <t xml:space="preserve">PROFESIONAL UNIVERSITARIO </t>
  </si>
  <si>
    <t>ALMEIDA VALLE GERMÁN ANDRÉS</t>
  </si>
  <si>
    <t>german.almeida@idt.gov.co</t>
  </si>
  <si>
    <t xml:space="preserve">PROFESIONAL ESPECIALIZADO </t>
  </si>
  <si>
    <t>CARRANZA GARCÍA DIANA MARCELA</t>
  </si>
  <si>
    <t>SUAREZ PALACIOS LUIS ARTURO</t>
  </si>
  <si>
    <t>VARGAS MEDINA DIEGO MANUEL</t>
  </si>
  <si>
    <t>diana.carranza@idt.gov.co</t>
  </si>
  <si>
    <t>luis.suarez@idt.gov.co</t>
  </si>
  <si>
    <t>diego.vargas@idt.gov.co</t>
  </si>
  <si>
    <t>Diseñar y ejecutar las estrategias dirigidas a la implementación de productos turísticos en Bogotá y la región, acordes con el potencial de la oferta y las tendencias de la demanda.</t>
  </si>
  <si>
    <t>Apoyar el desarrollo, la organización, verificación y mejora de procesos, procedimientos y actividades operativas, administrativas, técnicas y logísticas requeridas por la Dependencia con criterios de calidad y oportunidad a fin de contribuir al cumplimiento de los objetivos y Misión de la Entidad y de conformidad con las políticas y necesidades institucionales.</t>
  </si>
  <si>
    <t>DIAZ AMEZQUITA SORAIDA LUCIA</t>
  </si>
  <si>
    <t>soraida.diaz@idt.gov.co</t>
  </si>
  <si>
    <t>TRIANA LUGO CLAUDIA ALEXANDRA</t>
  </si>
  <si>
    <t>PEÑA DURÁN JENNY</t>
  </si>
  <si>
    <t>jenny.pena@idt.gov.co</t>
  </si>
  <si>
    <t>ESCALA SALARIAL</t>
  </si>
  <si>
    <t>PROPÓSITO DEL CARGO</t>
  </si>
  <si>
    <t>judith.borda@idt.gov.co</t>
  </si>
  <si>
    <t>camila.benitez@idt.gov.co</t>
  </si>
  <si>
    <t>veronica.arbelaez@idt.gov.co</t>
  </si>
  <si>
    <t>dumar.carvajal@idt.gov.co</t>
  </si>
  <si>
    <t>rene.guarin@idt.gov.co</t>
  </si>
  <si>
    <t>nelcy.hernandez@idt.gov.co</t>
  </si>
  <si>
    <t>cesar.herrera@idt.gov.co</t>
  </si>
  <si>
    <t>damaris.lagos@idt.gov.co</t>
  </si>
  <si>
    <t>erin.martinez@idt.gov.co</t>
  </si>
  <si>
    <t>german.montoya@idt.gov.co</t>
  </si>
  <si>
    <t>jimmy.pulido@idt.gov.co</t>
  </si>
  <si>
    <t>diana.rios@idt.gov.co</t>
  </si>
  <si>
    <t>edison.sarache@idt.gov.co</t>
  </si>
  <si>
    <t>yolanda.tovar@idt.gov.co</t>
  </si>
  <si>
    <t>claudia.triana@idt.gov.co</t>
  </si>
  <si>
    <t>10 años</t>
  </si>
  <si>
    <t>18 años</t>
  </si>
  <si>
    <t>9 años</t>
  </si>
  <si>
    <t>20 años</t>
  </si>
  <si>
    <t>15 años</t>
  </si>
  <si>
    <t>11 años</t>
  </si>
  <si>
    <t>12 años</t>
  </si>
  <si>
    <t>13 años</t>
  </si>
  <si>
    <t>16 años</t>
  </si>
  <si>
    <t>17 años</t>
  </si>
  <si>
    <t>19 años</t>
  </si>
  <si>
    <t xml:space="preserve">Experiencia laboral o profesional </t>
  </si>
  <si>
    <t>Teléfono Inst.</t>
  </si>
  <si>
    <t>COLOMBIA, BOGOTÁ D.C., BOGOTÁ</t>
  </si>
  <si>
    <t>COLOMBIA, QUINDIO, ARMENIA</t>
  </si>
  <si>
    <t>COLOMBIA, META, ACACÍAS</t>
  </si>
  <si>
    <t>COLOMBIA, ANTIOQUIA, MEDELLÍN</t>
  </si>
  <si>
    <t>COLOMBIA, ATLÁNTICO, PALMAR DE VARELA</t>
  </si>
  <si>
    <t>COLOMBIA, CUNDINAMARCA, SASAIMA</t>
  </si>
  <si>
    <t>COLOMBIA, HUILA, NEIVA</t>
  </si>
  <si>
    <t>COLOMBIA, CALDAS, MANIZALES</t>
  </si>
  <si>
    <t>COLOMBIA, BOYACÁ, TUTA</t>
  </si>
  <si>
    <t>COLOMBIA, BOYACÁ, CHIQUINQUIRÁ</t>
  </si>
  <si>
    <t>PAIS, DEPARTAMENTO Y CIUDAD DE NACIMIENTO</t>
  </si>
  <si>
    <t>COMUNICADORA SOCIAL CON ESP EN GESTIÓN LOCAL</t>
  </si>
  <si>
    <t>ABOGADO Y POLITÓLOGO</t>
  </si>
  <si>
    <t xml:space="preserve">CIENCIAS POLITICAS CON ESP EN ETICA Y PEDAGOGÍA DE VALORES; MAESTRÍA EN RESPONSABILIDAD SOCIAL. </t>
  </si>
  <si>
    <t>ADMINISTRADOR AMBIENTAL</t>
  </si>
  <si>
    <t>CONTADORA PÚBLICA CON ESP EN REVISIÓN FISCAL</t>
  </si>
  <si>
    <t>ADMINISTRADORA DE HOTELERÍA Y TURÍSMO CON MAESTRÍA EN RELACIONES INTERNACIONALES</t>
  </si>
  <si>
    <t>PUBLICISTA; PSICÓLOGA CON ESP EN GERENCIA DE MERCADEO</t>
  </si>
  <si>
    <t>CONTADOR PÚBLICO CON ESP EN REVISARÍA FISCAL Y CONTROL DE GESTIÓN; GESTIÓN Y AUDITORÍA TRIBUTARIA; Y FINANZAS PÚBLICA</t>
  </si>
  <si>
    <t>SECRETARIADO BILINGÜE</t>
  </si>
  <si>
    <t>ADMINISTRADORA DE EMPRESAS TURISTICAS CON ESP EN MERCADEO</t>
  </si>
  <si>
    <t>ADMINISTRADORA DE EMPRESAS CON ESP EN FINANZAS</t>
  </si>
  <si>
    <t>INGENIERO SE SISTEMAS CON ESP EN AUDITORÍA DE SISTEMAS</t>
  </si>
  <si>
    <t>ADMINISTRADOR DE EMPRESAS TURÍSTICAS Y HOTELERAS CON MAESTRÍA EN GERENCIA DE LA INNOVACIÓN EMPRESARIAL</t>
  </si>
  <si>
    <t>TÉCNICO PROFESIONAL EN DISEÑO GRÁFICO Y EN SECRETARIADO</t>
  </si>
  <si>
    <t>CONTADOR PÚBLICO</t>
  </si>
  <si>
    <t>ABOGADA CON ESP EN DERECHO DEL TRABAJO Y ESP EN DERECHO DE MÉDICO</t>
  </si>
  <si>
    <t>ADMINISTRADORA PÚBLICA CON ESP EN PSICOLOGÍA DEL CONSUMIDOR, GERENCIA DE MERCADEO Y MAESTRÍA EN PSICOLOGÍA DEL COSNUMIDOR</t>
  </si>
  <si>
    <t>ADMINISTRADOR DE EMPRESAS CON ESP EN GESTIÓN PÚBLICA Y FORMULACIÓN Y EVALUACIÓN DE PROYECTOS</t>
  </si>
  <si>
    <t>ADMINISTRADORA DE EMPRESAS</t>
  </si>
  <si>
    <t>GOBIERNO Y RELACIONES INTERNALES, CON ESP EN GESTIÓN DE DESARROLLO</t>
  </si>
  <si>
    <t>ECONOMISTA CON ESP EN NEGOCIOS INTERNACIONALES Y EN GESTIÓN AMBIENTAL URBANA</t>
  </si>
  <si>
    <t>INGENIERO GEODESTA  CON ESP EN GERENCIA DE PROYECTOS.</t>
  </si>
  <si>
    <t>BACHILLER</t>
  </si>
  <si>
    <t>ADMINISTRADOR DE EMPRESAS TURÍSTICAS Y HOTELERAS CON MAESTRÍA EN EDUCACIÓN, Y ESPECIALIZACIÓN EN DOCENCIA UNIVERSITARIA</t>
  </si>
  <si>
    <t>INGENIERO CATASTRAL CON ESP EN GERENCIA DE RECURSOS NATURALES Y MAGISTER EN GEOGRAFÍA</t>
  </si>
  <si>
    <t>ADMINISTRADOR DE EMPRESAS, CON ESP EN GERENCIA INFORMATICA; MAGISTER EN DIRECCIÓN Y ADMINISTRACIÓN DE EMPRESAS</t>
  </si>
  <si>
    <t>PSICÓLOGA</t>
  </si>
  <si>
    <t>ABOGADA, CON ESP EN DERECHO URBANÍSTICO</t>
  </si>
  <si>
    <t>ADMINISTRADOR DE EMPRESAS CON ESP EN ALTA GERENCIA</t>
  </si>
  <si>
    <t>CONTADORA PÚBLICA CON ESP EN GESTIÓN PÚBLICA</t>
  </si>
  <si>
    <t>FORMACION ACADEMICA</t>
  </si>
  <si>
    <t>NOVOA GONZÁLEZ LINA CONSUELO</t>
  </si>
  <si>
    <t>lina.novoal@idt.gov.co</t>
  </si>
  <si>
    <t>LAMAR MONTOYA JUAN JOSÉ</t>
  </si>
  <si>
    <t>juan.lamar@idt.gov.co</t>
  </si>
  <si>
    <t>CIFUENTES ALVÍRA CLAUDIA PATRICIA</t>
  </si>
  <si>
    <t>CLAVIJO RANGEL ANDRÉS ORLANDO</t>
  </si>
  <si>
    <t>FAJARDO MARIÑO KAROL</t>
  </si>
  <si>
    <t>PINZÓN ANGELA MARÍA</t>
  </si>
  <si>
    <t>INGENIERA DE MERCADOS CON EXP EN GERENCIA COMERCIAL Y MERCADEO CON MAESTRIA EN MARQUETING PUBLICIDAD DIGITAL</t>
  </si>
  <si>
    <t>ECONOMISTA CON ESP MERCADEO Y MAESTRIA EN ECONOMÍA DEL TURISMO Y MEDIO AMBIENTE</t>
  </si>
  <si>
    <t>karol.fajardo@idt.gov.co</t>
  </si>
  <si>
    <t>POLITÓLOGO CON ESP EN OPINIÓN PÚBLICA Y MERCADEO POLÍTICO</t>
  </si>
  <si>
    <t>andres.clavijo@idt.gov.co</t>
  </si>
  <si>
    <t>ADMINISTRADORA DE EMPRESAS TURÍSTICAS Y HOTELERAS CON MAESTRIA EN GERENCIA Y PRÁCTICA DEL DESARROLLO Y ESPECIALISTA EN GOBIERNO GERENCIA Y ASUNTOS PÚBLICOS</t>
  </si>
  <si>
    <t>angela.pinzon@idt.gov.co</t>
  </si>
  <si>
    <t>ABOGADA CON ESP EN DERECHO PÚBLICO, CIENCIAS Y SOCIOLOGÍA POLÍTICAS</t>
  </si>
  <si>
    <t>claudia.cifuentes@idt.gov.co</t>
  </si>
  <si>
    <t>Proyecto: Marcos Rodriguez, Contratista -Alberto Amaya Profesional Universitario Talento Humano, Subdirección Gestión Corporativa</t>
  </si>
  <si>
    <t>TÍTULO PROFESIONAL EN COMUNICACIÓN SOCIAL Y PERIODISMO.</t>
  </si>
  <si>
    <t>COMUNICADOR SOCIAL CON ESP EN COMUNICACIÓN ESTRATÉGICA Y ESP. EN PERIODISMO DIGITAL</t>
  </si>
  <si>
    <t>Link escala Salarial</t>
  </si>
  <si>
    <t>24 años</t>
  </si>
  <si>
    <t>14 años</t>
  </si>
  <si>
    <t>32 años</t>
  </si>
  <si>
    <t>ZAMBRANO OCAMPO GLORIA VERONICA</t>
  </si>
  <si>
    <t xml:space="preserve">INGENIERO INDUSTRIAL CON ESP EN GESTIÓN DE PRODUCTIVIDAD  Y CALIDAD ESP EN GESTION DE DESARROLLO ADMINISTRATIVO </t>
  </si>
  <si>
    <t>veronica.zambrano@idt.gov.co</t>
  </si>
  <si>
    <t>21 años</t>
  </si>
  <si>
    <t xml:space="preserve">TECNÓLOGA EN EN HOTELERÍA Y TURISMO,  INGENIERA INDUSTRIAL CON ESPECIALIZACIÓN GERENCIA AMBIENTAL </t>
  </si>
  <si>
    <t>DIRECTORIO INSTITUTO DISTRITAL DE TURISMO
Funcionarios de Planta</t>
  </si>
  <si>
    <r>
      <t xml:space="preserve">Realizar en coordinación de la Subdirección el diseño e implementación de estrategias y acciones con los diferentes actores del sector (empresarios, gremios, cámaras de comercio, organismos internacionales y Alcaldías Locales, entre otros), mejorando las condiciones de </t>
    </r>
    <r>
      <rPr>
        <b/>
        <sz val="8"/>
        <color indexed="8"/>
        <rFont val="Times New Roman"/>
        <family val="1"/>
      </rPr>
      <t>competitividad</t>
    </r>
    <r>
      <rPr>
        <sz val="8"/>
        <color indexed="8"/>
        <rFont val="Times New Roman"/>
        <family val="1"/>
      </rPr>
      <t xml:space="preserve"> del Sector Turismo de Bogotá</t>
    </r>
  </si>
  <si>
    <r>
      <t xml:space="preserve">Apoyar la ejecución de programas, proyectos y actividades relacionadas con el desarrollo y </t>
    </r>
    <r>
      <rPr>
        <b/>
        <sz val="8"/>
        <color indexed="8"/>
        <rFont val="Times New Roman"/>
        <family val="1"/>
      </rPr>
      <t>fortalecimiento empresarial</t>
    </r>
    <r>
      <rPr>
        <sz val="8"/>
        <color indexed="8"/>
        <rFont val="Times New Roman"/>
        <family val="1"/>
      </rPr>
      <t xml:space="preserve"> de las unidades productivas vinculadas al sector turístico y aquellas que tienen relación con el sector.</t>
    </r>
  </si>
  <si>
    <t>TÉCNICO EN CONTABILIDAD; PROFESIONAL EN FINANZAS, CON ESP. EN  FINANZAS</t>
  </si>
  <si>
    <t>johanna.@ospina@idt.gov.co</t>
  </si>
  <si>
    <t>OSPINA CRUZ JOHANNA MARCELA</t>
  </si>
  <si>
    <t>TECNOLOGÍA EN GESTIÓN
ADMINISTRATIVA; TECNICA PROFESIONAL EN PROCESOS
ADMINISTRATIVOS</t>
  </si>
  <si>
    <t>OSPINA TORRES MAURICIO JAVIER</t>
  </si>
  <si>
    <t>CIENCIA POLÍTICA CON ESP. EN ALTA GERENCIA</t>
  </si>
  <si>
    <t>mauricio.ospina@idt.gov.co</t>
  </si>
  <si>
    <t>ARLANT COBO GLENDA PAOLA</t>
  </si>
  <si>
    <t>ABOGADA CON ESP. EN DERECHO TRIBUTARIO</t>
  </si>
  <si>
    <t>JEFE DE OFICINA</t>
  </si>
  <si>
    <t>CONTROL DISCIPLINARIO INTERNO</t>
  </si>
  <si>
    <t>paola.arlant@idt.gov.co</t>
  </si>
  <si>
    <t>Dirigir la función disciplinaria y fallar en primera instancia los procesos disciplinarios que se adelanten en contra de los servidores y exservidores públicos de la entidad, realizando seguimiento al cumplimiento de las decisiones proferidas, de conformidad con la normatividad vigente sobre la materia.</t>
  </si>
  <si>
    <t>6012170711 Ext.</t>
  </si>
  <si>
    <t>BARRERA RODRÍGUEZ CLAUDIA LUCÍA</t>
  </si>
  <si>
    <t>COMUNICADORA SOCIAL - PERIODISTA CON ESP EN GESTIÓN PÚBLICA Y MAESTRIA EN COMUNICACIONES</t>
  </si>
  <si>
    <t>claudia.barrera@idt.gov.co</t>
  </si>
  <si>
    <t>25 años</t>
  </si>
  <si>
    <t>7 años</t>
  </si>
  <si>
    <t>27 años</t>
  </si>
  <si>
    <t>33 años</t>
  </si>
  <si>
    <t>29 años</t>
  </si>
  <si>
    <t>13años</t>
  </si>
  <si>
    <t>22 años</t>
  </si>
  <si>
    <t>gilberto.suarez@idt.gov.co</t>
  </si>
  <si>
    <t>GILBERTO ANTONIO SUAREZ</t>
  </si>
  <si>
    <t>Fecha Actualización: mayo 23 de 2022</t>
  </si>
  <si>
    <t>ECONOMIA, ESPECIALIZACION EN ADMINISTRACION FINANCIERA</t>
  </si>
  <si>
    <t>DIRECTORIO CONTRATISTAS - DISTRITAL DE TURISMO - 2022</t>
  </si>
  <si>
    <t>NOMBRE Y APELLIDO</t>
  </si>
  <si>
    <t>OBJETO CONTRACTUAL</t>
  </si>
  <si>
    <t>VALOR HONORARIOS</t>
  </si>
  <si>
    <t>FECHA DE INICIO</t>
  </si>
  <si>
    <t>FECHA DE TERMINACION</t>
  </si>
  <si>
    <t>FORMACIÓN ACADÉMICA</t>
  </si>
  <si>
    <t>EXPERIENCIA LABORAL Y PROFESIONAL</t>
  </si>
  <si>
    <t>PAIS</t>
  </si>
  <si>
    <t>DEPARTAMENTO</t>
  </si>
  <si>
    <t>CIUDAD DE NACIMIENTO</t>
  </si>
  <si>
    <t>CORREO INSTITUCIONAL</t>
  </si>
  <si>
    <t>TELEFONO INSTITUCIONAL</t>
  </si>
  <si>
    <t>EXTENCION</t>
  </si>
  <si>
    <t>GUSTAVO ALFONSO HERNANDEZ BERMUDEZ</t>
  </si>
  <si>
    <t xml:space="preserve"> PRESTAR SERVICIOS PROFESIONALES A LA OFICINA ASESORA JURIDICA EN LAS ACTIVIDADES DERIVADAS DE LA GESTION CONTRACTUAL DE LA ENTIDAD E N LOS PROCESOS DE CONTRATACION DE MEDIANA Y BAJA COMPLEJIDAD  EN SUS ETAPAS PRE CONTRACTUAL CONTRACTUAL Y POST CONTRACTUAL  ASI COMO  APOYAR EN LOS DEMAS ASUNTOS DE INDOLE LEGAL PROPIOS DE LA DEPENDENCIA             </t>
  </si>
  <si>
    <t>CONTRATISTA</t>
  </si>
  <si>
    <t>DERECHO / ESPECIALIZACIÓN EN DERECHOS HUMANOS</t>
  </si>
  <si>
    <t>Título Profesional y Título de Postgrado en la modalidad de especialización o mestría relacionadas con el objeto del contrato - Desde 48 meses hasta 60 meses de experiencia profesional</t>
  </si>
  <si>
    <t>COLOMBIA</t>
  </si>
  <si>
    <t>BOYACA</t>
  </si>
  <si>
    <t>DUITAMA</t>
  </si>
  <si>
    <t>OFICINA ASESORA JURÍDICA</t>
  </si>
  <si>
    <t>gustavo.hernandez@idt.gov.co</t>
  </si>
  <si>
    <t>ANDREA DEL PILAR BUITRAGO MONTAÑEZ</t>
  </si>
  <si>
    <t xml:space="preserve"> PRESTAR SERVICIOS PROFESIONALES A LA OFICINA ASESORA JURIDICA EN LAS ACTIVIDADES DERIVADAS DE LA GESTION CONTRACTUAL DE LA ENTIDAD E N LOS PROCESOS DE CONTRATACION DE MEDIANA Y BAJA COMPLEJIDAD EN SUS ETAPAS PRECONTRACTUAL CONTRACTUAL Y POST CONTRACTUAL ASI COMO AP OYAR EN LOS DEMAS ASUNTOS DE INDOLE LEGAL PROPIOS DE LA DEPENDENCIA             </t>
  </si>
  <si>
    <t>DERECHO / ESPECIALIZACION EN CONTRATACION ESTATAL</t>
  </si>
  <si>
    <t>Título Profesional - Desde 36 meses hasta 48 meses de experiencia profesional</t>
  </si>
  <si>
    <t>andrea.buitrago@idt.gov.co</t>
  </si>
  <si>
    <t>GLADYS YANETH MENDOZA BUITRAGO</t>
  </si>
  <si>
    <t xml:space="preserve"> PRESTAR SERVICIOS PROFESIONALES PARA ADELANTAR ACTIVIDADES DE LOS PROCESOS DE CONTRATACION DE ALTA Y MEDIANA COMPLEJIDAD EN EL INSTI TUTO DISTRITAL DE TURISMO EN SUS ETAPAS PRE CONTRACTUAL CONTRACTUAL Y POST CONTRACTUAL Y DEMAS ASUNTOS DE INDOLE LEGAL PROPIOS DE LA  DEPENDENCIA             </t>
  </si>
  <si>
    <t>DERECHO / MAESTRIA EN DERECHO ADMINISTRATIVO / ESPECIALIZACIÓN EN CONTRATACIÓN ESTATAL / ESPECIALIZACION EN GERENCIA DE PROYECTOS</t>
  </si>
  <si>
    <t>Título Profesional - Más de 48 meses de experiencia profesional</t>
  </si>
  <si>
    <t>RAMIRIQUÍ</t>
  </si>
  <si>
    <t>gladys.mendoza@idt.gov.co</t>
  </si>
  <si>
    <t>JUAN SEBASTIAN GACHARNA BELLO</t>
  </si>
  <si>
    <t>DERECHO /  ESPECIALIZACIÓN EN CONTRATACIÓN ESTATAL Y NEGOCIOS JURÍDICOS</t>
  </si>
  <si>
    <t>Título Profesional / Más de 48 meses de experiencia profesional</t>
  </si>
  <si>
    <t>CUNDIMARCA</t>
  </si>
  <si>
    <t>BOGOTÁ</t>
  </si>
  <si>
    <t>juan.gacharna@idt.gov.co</t>
  </si>
  <si>
    <t>CINDY DAHANA CALDERON ORTIZ</t>
  </si>
  <si>
    <t xml:space="preserve"> PRESTAR SERVICIOS PARA APOYAR A LA OFICINA ASESORA JURIDICA EN LA ORGANIZACION DE LOS EXPEDIENTES CONTRACTUALES DILIGENCIAMIENTO DE TABLAS DE RETENCION DOCUMENTAL  TRD Y MANEJO DE BASES DE DATOS DE LA OFICINA ASESORA JURIDICA              </t>
  </si>
  <si>
    <t>Título Profesional - Desde 6 meses hasta 18 meses de experiencia profesional</t>
  </si>
  <si>
    <t>cindy.calderon@idt.gov.co</t>
  </si>
  <si>
    <t>DANIEL ANDRES GUERRERO ROMERO</t>
  </si>
  <si>
    <t xml:space="preserve"> PRESTAR SERVICIOS PARA APOYAR A LA OFICINA ASESORA JURIDICA EN LA ORGANIZACION DE LOS EXPEDIENTES CONTRACTUALES  DILIGENCIAMIENTO DE  TABLAS DE RETENCION DOCUMENTAL  TRD Y MANEJO DE BASES DE DATOS DE LA OFICINA ASESORA JURIDICA              </t>
  </si>
  <si>
    <t>Título Bachiller - Desde  48 meses y hasta 60 meses de experiencia laboral</t>
  </si>
  <si>
    <t>daniel.guerrero@idt.gov.co</t>
  </si>
  <si>
    <t>MARIA DE LOS ANGELES TIRADO GOMEZ CASSERES</t>
  </si>
  <si>
    <t xml:space="preserve"> PRESTAR SERVICIOS PROFESIONALES A LA OFICINA ASESORA JURIDICA EN EL CUMPLIMIENTO DE LOS INFORMES REQUERIDOS POR LOS DIFERENTES ENTES  GUBERNAMENTALES Y PRIVADOS ACTUALIZACION Y CONTROL DE LA BASE DE DATOS DE CONTRATACION Y ACTIVIDADES REQUERIDAS PARA LA ADMINISTRAC ION DEL PLAN ANUAL DE ADQUISICIONES             </t>
  </si>
  <si>
    <t>ADMINISTRACIÓN DE NEGOCIOS</t>
  </si>
  <si>
    <t>Título Profesional - Desde de 18 meses hasta 24 meses de experiencia profesional</t>
  </si>
  <si>
    <t>SUCRE</t>
  </si>
  <si>
    <t>SINCELEJO</t>
  </si>
  <si>
    <t>maria.gomez@idt.gov.co</t>
  </si>
  <si>
    <t>VIVIANA MARCELA LIBREROS</t>
  </si>
  <si>
    <t xml:space="preserve"> PRESTAR SERVICIOS PROFESIONALES ESPECIALIZADOS PARA REALIZAR LAS ACTIVIDADES RELACIONADAS CON LA ADQUISICION DE BIENES Y SERVICIOS Q UE REQUIERA EL INSTITUTO  EN SUS ETAPAS PRECONTRACTUAL CONTRACTUAL Y POSTCONTRACTUAL  ASI COMO ORIENTAR Y RECOMENDAR EN LOS DEMAS AS UNTOS DE INDOLE LEGAL Y O LOS RELACIONADOS CON LOS ENTES DE CONTROL Y ATENCION A PQRS             </t>
  </si>
  <si>
    <t>VALLE DEL CAUCA</t>
  </si>
  <si>
    <t>GUADALAJARA DE BUGA</t>
  </si>
  <si>
    <t>viviana.marcela@idt.gov.co</t>
  </si>
  <si>
    <t>ZEIDA MIREYA GRACIELA BOHORQUEZ CONTRERAS</t>
  </si>
  <si>
    <t xml:space="preserve"> PRESTAR SERVICIOS PROFESIONALES PARA ORIENTAR  GESTIONAR Y ADELANTAR EL TRAMITE DE LAS FASES CONTRACTUAL Y POSTCONTRACTUAL Y DEMAS A SUNTOS DE INDOLE LEGAL PROPIOS DE LA DEPENDENCIA              </t>
  </si>
  <si>
    <t>LEYES Y JURISPRUDENCIA / ESPECIALIZACION EN DERECHO PUBLICO</t>
  </si>
  <si>
    <t>Título Profesional / Desde 24 meses hasta 36 meses de experiencia profesional</t>
  </si>
  <si>
    <t>NOCAIMA</t>
  </si>
  <si>
    <t>zeida.bohorquez@idt.gov.co</t>
  </si>
  <si>
    <t>CAMILA ANDREA ROCHA RAMIREZ</t>
  </si>
  <si>
    <t xml:space="preserve"> PRESTAR SERVICIOS PROFESIONALES PARA APOYAR LA GESTION DE LA OFICINA ASESORA JURIDICA EN LOS TRAMITES DE ADQUISICION DE BIENES Y SER VICIOS QUE REQUIERA LA ENTIDAD              </t>
  </si>
  <si>
    <t>DERECHO</t>
  </si>
  <si>
    <t>Título Profesional / Hasta 6 meses de experiencia profesional</t>
  </si>
  <si>
    <t>camila.rocha@idt.gov.co</t>
  </si>
  <si>
    <t>JENNIFER ALEJANDRA MOGOLLON BERNAL</t>
  </si>
  <si>
    <t xml:space="preserve"> PRESTAR SERVICIOS PROFESIONALES ESPECIALIZADOS PARA BRINDAR ACOMPANAMIENTO Y SOPORTE JURIDICO A LA OFICINA ASESORA JURIDICA DEL INST ITUTO DISTRITAL DE TURISMO              </t>
  </si>
  <si>
    <t>jennifer.mogollon@idt.gov.co</t>
  </si>
  <si>
    <t>WILLIAM GERARDO MARTINEZ CRUZ</t>
  </si>
  <si>
    <t xml:space="preserve"> PRESTAR SERVICIOS PROFESIONALES PARA ADELANTAR ACTIVIDADES DE LOS PROCESOS DE CONTRATACION DE ALTA Y MEDIANA COMPLEJIDAD EN EL INSTI TUTO DISTRITAL DE TURISMO EN SUS ETAPAS PRE CONTRACTUAL  CONTRACTUAL Y POST CONTRACTUAL Y DEMAS ASUNTOS DE INDOLE LEGAL PROPIOS DE L A DEPENDENCIA             </t>
  </si>
  <si>
    <t>william.martinez@idt.gov.co</t>
  </si>
  <si>
    <t>JOHANA PAOLA LAMILLA SANCHEZ</t>
  </si>
  <si>
    <t xml:space="preserve"> PRESTAR SERVICIOS PROFESIONALES EN LA OFICINA ASESORA JURIDICA PARA ADELANTAR Y ATENDER LOS TRAMITES QUE SE DERIVEN DE LA IMPLEMENTA CION Y O MEJORA DEL MODELO INTEGRADO DE PLANEACION Y GESTION Y LA ELABORACION DE INFORMES REQUERIDOS POR LOS ENTES DE CONTROL  ASI C OMO LAS DEMAS GESTIONES ADMINISTRATIVAS DE LA DEPENDENCIA             </t>
  </si>
  <si>
    <t>ADMINISTRACION PUBLICA / ESPECIALIZACION EN PROYECTOS DE DESARROLLO</t>
  </si>
  <si>
    <t>johana.lamilla@idt.gov.co</t>
  </si>
  <si>
    <t>KATTIA JEANETH PINZON FRANCO</t>
  </si>
  <si>
    <t xml:space="preserve"> PRESTAR LOS SERVICIOS PROFESIONALES PARA EL SEGUIMIENTO A LA PLANEACION EJECUCION Y CUMPLIMIENTO DE METAS DE LA SUBDIRECCION DE GEST ION DE DESTINO QUE IMPACTEN EL PROYECTO DE FORTALECIMIENTO DEL SISTEMA TURISTICO DE BOGOTA.              </t>
  </si>
  <si>
    <t>COMUNICACION SOCIAL / ESPECIALIZACION EN MERCADEO / ESPECIALIZACION EN PSICOLOGIA DEL CONSUMIDOR</t>
  </si>
  <si>
    <t>Título Profesional y Título de Postgrado en la modalidad de especialización o mestría relacionadas con el objeto del contrato - Desde 6 meses hasta 18 meses de experiencia profesional</t>
  </si>
  <si>
    <t>SUBDIRECCIÓN DE GESTIÓN DE DESTINO</t>
  </si>
  <si>
    <t>kattia.pinzon@idt.gov.co</t>
  </si>
  <si>
    <t>PAOLA ANDREA SANCHEZ PRIETO</t>
  </si>
  <si>
    <t xml:space="preserve"> PRESTAR SERVICIOS PROFESIONALES PARA APOYAR LA FORMULACIÃ“N TEMATICA DESARROLLO Y O IMPLEMENTACIN DE LAS OPERACIONES ESTADISTICAS Y NO ESTADISTICAS ASI COMO BRINDAR APOYO EN EL SEGUIMIENTO Y CONTROL DE LOS PROCESOS ADMINISTRATIVOS DEL AREA              </t>
  </si>
  <si>
    <t>ADMINISTRACION DE EMPRESAS / ESPECIALIZACION EN GERENCIA DE MERCADEO ESTRATEGICO</t>
  </si>
  <si>
    <t>ASESOR DEL OBSERVATORIO DE TURISMO</t>
  </si>
  <si>
    <t>paola.sanchez@idt.gov.co</t>
  </si>
  <si>
    <t>MYRIAM YANETH BOCAREJO CARVAJAL</t>
  </si>
  <si>
    <t xml:space="preserve"> PRESTAR SERVICIOS TECNICOS Y DE APOYO A LA GESTION QUE INVOLUCRE LA DEFINICION DESARROLLO Y SEGUIMIENTO A LAS ACTIVIDADES ADMINISTRA TIVAS CONTRACTUALES OPERATIVAS Y ASISTENCIALES QUE SEAN REQUERIDAS POR EL PROCESO DE COMUNICACIONES              </t>
  </si>
  <si>
    <t>TÉCNICO PROFESIONAL INTERMEDIO EN ADMINISTRACIÓN TURÍSTICA</t>
  </si>
  <si>
    <t>Título de Formación técnico o tecnólogo, o terminación y aprobación de materias que conforman el pensum académico - Desde 36 meses hasta 48 meses de experiencia profesional</t>
  </si>
  <si>
    <t>ASESOR(A) DE COMUNICACIONES</t>
  </si>
  <si>
    <t>myriam.bocarejo@idt.gov.co</t>
  </si>
  <si>
    <t>DAVID STEVEN RUIZ VALDERRAMA</t>
  </si>
  <si>
    <t xml:space="preserve"> PRESTAR LOS SERVICIOS DE APOYO A LA GESTION EN LA DEPURACION CLASIFICACION ORGANIZACION Y SEGUIMIENTO DEL ARCHIVO DE GESTION A CARGO  DE LA SUBDIRECCION DE GESTION DE DESTINO EN CUMPLIMIENTO DEL PROYECTO DE FORTALECIMIENTO DEL SISTEMA TURISTICO DE BOGOTA              </t>
  </si>
  <si>
    <t xml:space="preserve">TECNOLOGÍA EN GESTIÓN EMPRESARIAL </t>
  </si>
  <si>
    <t>david.ruiz@idt.gov.co</t>
  </si>
  <si>
    <t>HECTOR FERNANDO NARVAEZ NAVIA</t>
  </si>
  <si>
    <t xml:space="preserve"> PRESTAR SERVICIOS DE APOYO A LA GESTION COMO ASISTENTE CONTABLE PARA EL SEGUIMIENTO Y EL CONTROL DE LA EJECUCION CONTABLE Y FINANCIE RA DE LOS PROCESOS DE LA SUBDIRECCION DE GESTION DE DESTINO QUE IMPACTEN EN EL CUMPLIMIENTO DEL PROYECTO DE FORTALECIMIENTO DEL SIST EMA TURISTICO DE BOGOTA             </t>
  </si>
  <si>
    <t>LICENCIATURA EN CONTADURÍA PUBLICA / CONTADURIA PUBLICA</t>
  </si>
  <si>
    <t>Título de Formación técnico o tecnólogo, o terminación y aprobación de materias que conforman el pensum académico - Desde 12 meses hasta 48 meses de experiencia profesional</t>
  </si>
  <si>
    <t>VENEZUELA</t>
  </si>
  <si>
    <t>MARIÑO</t>
  </si>
  <si>
    <t>PORLAMAR</t>
  </si>
  <si>
    <t>hector.narvaez@idt.gov.co</t>
  </si>
  <si>
    <t>IVON SORAYA ARIAS TORRES</t>
  </si>
  <si>
    <t xml:space="preserve"> PRESTAR SERVICIOS PROFESIONALES DE APOYO A LAS ACTIVIDADES NECESARIAS PARA ARTICULAR Y FORTALECER LOS PROGRAMAS DE FORMACION PARA EL  TURISMO QUE IMPACTEN EN LOS DIFERENTES GRUPOS POBLACIONALES Y LOS ACTORES DE LA CADENA DE VALOR DEL TURISMO QUE APORTEN AL CUMPLIMI ENTO DEL PROYECTO DE FORTALECIMIENTO DEL SISTEMA TURISTICO DE BOGOTA             </t>
  </si>
  <si>
    <t>TURISMO</t>
  </si>
  <si>
    <t>Título Profesional - Desde 24 meses hasta 36 meses de experiencia profesional</t>
  </si>
  <si>
    <t>ivon.arias@idt.gov.co</t>
  </si>
  <si>
    <t>LUIS MIGUEL RAMIREZ VILLAMIL</t>
  </si>
  <si>
    <t xml:space="preserve"> PRESTAR SERVICIOS PROFESIONALES PARA REALIZAR EL DISENO E IMPLEMENTACION DE ESTRATEGIAS QUE FOMENTEN Y FORTALEZCAN LOS PRODUCTOS TUR ISTICOS PRIORIZADOS QUE IMPACTEN EN EL CUMPLIMIENTO DEL PROYECTO DE FORTALECIMIENTO DEL SISTEMA TURISTICO DE BOGOTA              </t>
  </si>
  <si>
    <t>ADMINISTRACIÓN DE EMPRESAS</t>
  </si>
  <si>
    <t>luis.ramirez@idt.gov.co</t>
  </si>
  <si>
    <t>PAULA ANDREA MARTINEZ PEÑARANDA</t>
  </si>
  <si>
    <t xml:space="preserve"> PRESTAR LOS SERVICIOS PROFESIONALES EN EL ACOMPANAMIENTO Y SEGUIMIENTO A LA POLITICA PUBLICA Y PROGRAMAS QUE PROPENDAN POR EL DESARR OLLO Y PROMOCION DEL TURISMO QUE IMPACTEN EN EL CUMPLIMIENTO DEL PROYECTO DE FORTALECIMIENTO DEL SISTEMA TURISTICO DE BOGOTA              </t>
  </si>
  <si>
    <t xml:space="preserve">COMUNICACION SOCIAL / ESPECIALIZACION EN GERENCIA SOCIAL </t>
  </si>
  <si>
    <t>paula.martinez@idt.gov.co</t>
  </si>
  <si>
    <t>LAURA CRISTINA MONROY BAYONA</t>
  </si>
  <si>
    <t xml:space="preserve"> PRESTAR SERVICIOS PROFESIONALES PARA APOYAR DE MANERA TRANSVERSAL LOS PROCESOS ADMINISTRATIVOS Y CONTRACTUALES A CARGO DE LA SUBDIRE CCION DE GESTION CORPORATIVA Y COMO  ENLACE DE LA OFICINA ASESORA DE PLANEACION              </t>
  </si>
  <si>
    <t>FINANZAS Y NEGOCIOS INTERNACIONALES</t>
  </si>
  <si>
    <t>SUBDIRECCIÓN DE GESTION CORPORATIVA Y CONTROL DISCIPLINARlO</t>
  </si>
  <si>
    <t>laura.monroy@idt.gov.co</t>
  </si>
  <si>
    <t>MARCOS ANDRES RODRIGUEZ NAIZAQUE</t>
  </si>
  <si>
    <t xml:space="preserve"> PRESTAR SERVICIOS DE APOYO A LA GESTION PARA DESARROLLAR LAS ACTIVIDADES OPERATIVAS Y ASISTENCIALES PROPIAS DE LA ADMINISTRACION DEL  TALENTO HUMANO Y LA SUBDIRECCION DE GESTION CORPORATIVA              </t>
  </si>
  <si>
    <t>TECNOLOGÍA EN GESTIÓN DE PROCESOS INDUSTRIALES</t>
  </si>
  <si>
    <t>Título de Formación técnico o tecnólogo, o terminación y aprobación de materias que conforman el pensum académico - Desde  12 meses y hasta 48 meses de experiencia laboral</t>
  </si>
  <si>
    <t>marcos.rodriguez@idt.gov.co</t>
  </si>
  <si>
    <t>LUZ STELLA BELTRAN LAMMOGLIA</t>
  </si>
  <si>
    <t xml:space="preserve"> PRESTAR SERVICIOS PROFESIONALES PARA APOYAR LA ELABORACION ANALISIS Y PRESENTACION DE INFORMACION DE LA MEDICION DE TURISMO SOSTENIB LE ASI COMO REALIZAR EL SEGUIMIENTO A LOS PRINCIPALES INDICADORES DE SOSTENIBILIDAD DEFINIDOS PARA EL SECTOR              </t>
  </si>
  <si>
    <t>ECONOMIA / ESPECIALIZACIÓN EN ESTADÍSTICA</t>
  </si>
  <si>
    <t>TUNJA</t>
  </si>
  <si>
    <t>luz.beltran@idt.gov.co</t>
  </si>
  <si>
    <t>JOHAN SEBASTIAN CARVAJAL SALAMANCA</t>
  </si>
  <si>
    <t xml:space="preserve"> PRESTAR SERVICIOS PROFESIONALES PARA APOYAR LA ELABORACION ANALISIS Y PRESENTACION DE LA INFORMACION DE LA INVESTIGACION VIAJEROS EN  BOGOTA Y DE LOS POSIBLES ESTUDIOS QUE SE DERIVEN DE ELLA ASI COMO REALIZAR LA CONSOLIDACION DE INFORMACION PARA LA PUBLICACION DEL BOLETIN DE DATOS Y CIFRAS DE TURISMO             </t>
  </si>
  <si>
    <t>ECONOMIA / MAESTRIA EN ECONOMIA</t>
  </si>
  <si>
    <t>Título Profesional - Desde  18 meses hasta 24 meses de experiencia profesional</t>
  </si>
  <si>
    <t>johan.carvajal@idt.gov.co</t>
  </si>
  <si>
    <t>JESSICA ALEXANDRA ANGEL BERMUDEZ</t>
  </si>
  <si>
    <t xml:space="preserve"> PRESTAR LOS SERVICIOS PROFESIONALES PARA ARTICULAR Y DESARROLLAR LAS ACCIONES QUE SE DEFINAN PARA LOS PROGRAMAS DE FORMACION QUE SE ADELANTEN EN EL INSTITUTO DISTRITAL DE TURISMO QUE IMPACTEN EN EL CUMPLIMIENTO DEL PROYECTO DE FORTALECIMIENTO DEL SISTEMA TURISTICO  DE BOGOTA             </t>
  </si>
  <si>
    <t>RELACIONES INTERNACIONALES Y ESTUDIOS POLITICOS / ESPECIALIZACION EN "FINANZAS Y ADMINISTRACION PUBLICA"</t>
  </si>
  <si>
    <t>N/A</t>
  </si>
  <si>
    <t>jessica.angel@idt.gov.co</t>
  </si>
  <si>
    <t>GUILLERMO  RAMIREZ SOTO</t>
  </si>
  <si>
    <t xml:space="preserve"> PRESTAR SERVICIOS DE APOYO PARA DESARROLLAR LAS ACTIVIDADES PROPIAS DEL PROCESO CONTABLE Y DE LA GESTION FINANCIERA DEL INSTITUTO DI STRITAL DE TURISMO              </t>
  </si>
  <si>
    <t>TÉCNICO LABORAL EN ADMINISTRACIÓN DE PERSONAL</t>
  </si>
  <si>
    <t>Título de Formación técnico o tecnólogo, o terminación y aprobación de materias que conforman el pensum académico - Desde  48 meses y hasta 60 meses de experiencia laboral</t>
  </si>
  <si>
    <t>guillermo.ramirez@idt.gov.co</t>
  </si>
  <si>
    <t>CRISTIAN DAVID DIAZ MUÑOZ</t>
  </si>
  <si>
    <t xml:space="preserve"> PRESTAR LOS SERVICIOS PROFESIONALES PARA APOYAR JURIDICAMENTE A LA SUBDIRECCION DE GESTION DE DESTINO EN LOS PROCESOS DE CONTRATACIO N EJECUCION CONTRACTUAL Y DEMAS PROCESOS MISIONALES QUE IMPACTEN EN EL CUMPLIMIENTO DEL PROYECTO DE FORTALECIMIENTO DEL SISTEMA TURI STICO DE BOGOTA             </t>
  </si>
  <si>
    <t>DERECHO / ESPECIALIZACION EN DERECHO PUBLICO</t>
  </si>
  <si>
    <t>cristian.diaz@idt.gov.co</t>
  </si>
  <si>
    <t>VALERIA  MUÑETON TAMAYO</t>
  </si>
  <si>
    <t xml:space="preserve"> PRESTAR SERVICIOS PROFESIONALES PARA APOYAR EN EL ANALISIS  EJECUCION SOSTENIBILIDAD Y MEJORA QUE CONTRIBUYA AL FORTALECIMIENTO DE L A CAPACIDAD INSTITUCIONAL EN EL MARCO DEL MODELO INTEGRADO DE PLANEACION Y GESTION MIPG DEL INSTITUTO DISTRITAL DE TURISMO              </t>
  </si>
  <si>
    <t>INGENIERÍA INDUSTRIAL / ESPECIALIZACION EN ALTA GERENCIA</t>
  </si>
  <si>
    <t>Título Profesional Hasta 6 meses de experiencia profesional</t>
  </si>
  <si>
    <t>valeria.muñeton@idt.gov.co</t>
  </si>
  <si>
    <t>KARINA  CELON MARTINEZ</t>
  </si>
  <si>
    <t xml:space="preserve"> PRESTAR SERVICIOS DE APOYO A LA GESTION PARA DESARROLLAR LAS ACTIVIDADES PROPIAS DE ALMACEN E INVENTARIOS EN LOS APLICATIVOS SISCO Y  SAE SAI DEL SISTEMA DE INFORMACION SI CAPITAL Y DEMAS TEMAS A CARGO DEL PROCESO DE BIENES Y SERVICIOS              </t>
  </si>
  <si>
    <t>TECNOLOGÍA EN GESTIÓN ADMINISTRATIVA</t>
  </si>
  <si>
    <t>Título de Formación técnico o tecnólogo, o terminación y aprobación de materias que conforman el pensum académico - Entre 0 y 12 meses de experiencia laboral</t>
  </si>
  <si>
    <t>CESAR</t>
  </si>
  <si>
    <t>AGUSTIN CODAZZI - CESAR</t>
  </si>
  <si>
    <t>karina.celon@idt.gov.co</t>
  </si>
  <si>
    <t>ANGIE PAOLA ALVARADO GONZALEZ</t>
  </si>
  <si>
    <t xml:space="preserve"> PRESTAR SERVICIOS PROFESIONALES PARA APOYAR LAS ACCIONES DE CONTROL Y SEGUIMIENTO AL DESARROLLO DE LAS ACTIVIDADES DE RECOLECCIÃ“N Y  SINCRONIZACION DE INFORMACION DE LAS OPERACIONES ESTADISTICAS Y NO ESTADISTICAS ASIGNADAS              </t>
  </si>
  <si>
    <t>angie.alvarado@idt.gov.co</t>
  </si>
  <si>
    <t>KRIS ELIANA ZAPATA PEREZ</t>
  </si>
  <si>
    <t xml:space="preserve">PRESTAR LOS SERVICIOS PROFESIONALES PARA DISENAR Y PROPONER ACCIONES ENCAMINADAS A LA IMPLEMENTACION DEL MODELO DE DESTINO TURÃSTICO  INTELIGENTE QUE IMPACTEN EN EL CUMPLIMIENTO DEL PROYECTO DE FORTALECIMIENTO DEL SISTEMA TURISTICO DE BOGOTA              </t>
  </si>
  <si>
    <t>ADMINISTRACION DE EMPRESAS TURISTICAS / MAESTRIA EN GESTION HUMANA Y DESARROLLO ORGANIZACIONAL</t>
  </si>
  <si>
    <t>Título Profesional / Desde 36 meses hasta 48 meses de experiencia profesional</t>
  </si>
  <si>
    <t>ANTIOQUIA</t>
  </si>
  <si>
    <t>SAN PEDRO DE LOS MILAGROS</t>
  </si>
  <si>
    <t>kris.zapata@idt.gov.co</t>
  </si>
  <si>
    <t>MARIA XIMENA VILLOTA MONCAYO</t>
  </si>
  <si>
    <t xml:space="preserve"> PRESTAR SERVICIOS PROFESIONALES QUE CONTRIBUYAN AL FORTALECIMIENTO DEL TURISMO ACCESIBLE EN EL MARCO DE LA CULTURA Y RESPONSABILIDAD  TURISTICA QUE IMPACTE EN EL CUMPLIMIENTO DEL PROYECTO DE FORTALECIMIENTO DEL SISTEMA TURISTICO DE BOGOTA              </t>
  </si>
  <si>
    <t>ADMINISTRACIÓN DE EMPRESAS TURÍSTICAS Y HOTELERAS / ESPECIALIZACIÓN EN DIRECCIÓN Y GESTIÓN DE PROYECTOS</t>
  </si>
  <si>
    <t>NARIÑO</t>
  </si>
  <si>
    <t>PASTO</t>
  </si>
  <si>
    <t>maria.villota@idt.gov.co</t>
  </si>
  <si>
    <t>MARTHA CECILIA RAMIREZ RAMIREZ</t>
  </si>
  <si>
    <t xml:space="preserve"> PRESTAR SERVICIOS PROFESIONALES QUE CONTRIBUYAN AL FORTALECIMIENTO DE LA CULTURA Y RESPONSABILIDAD TURISTICA A PARTIR DEL FOMENTO A LA APROPIACION DE CIUDAD POR PARTE DE RESIDENTES Y A LA INTEGRIDAD TRANSPARENCIA Y NO TOLERANCIA CON LA CORRUPCI0N COMO VALORES FUND AMENTALES DEL TURISMO DE BOGOTA             </t>
  </si>
  <si>
    <t>TRABAJO SOCIAL / ESPECIALIZACIÓN DE PLANEACIÓN GESTIÓN Y CONTROL DEL DESARROLLO</t>
  </si>
  <si>
    <t>HUILA</t>
  </si>
  <si>
    <t>AIPE</t>
  </si>
  <si>
    <t>martha.ramirez@idt.gov.co</t>
  </si>
  <si>
    <t>CLAUDIA CONCEPCION GONZALEZ ALFONSO</t>
  </si>
  <si>
    <t xml:space="preserve"> PRESTAR SERVICIOS PROFESIONALES PARA APOYAR EL DESARROLLO DE LAS ACTIVIDADES DE PLANEACION PARA LA VIGENCIA 2022 ASOCIADAS AL MANEJO  Y CONTROL DE LOS DIFERENTES INSTRUMENTOS DE PROGRAMACION SEGUIMIENTO Y REPORTE DE LOS PLANES Y PROYECTOS DEL IDT              </t>
  </si>
  <si>
    <t>ECONOMÍA / ADMINISTRACIÓN DE EMPRESAS / ESPECIALIZACIÓN EN ADMINISTRACIÓN FINANCIERA</t>
  </si>
  <si>
    <t>claudia.gonzalez@idt.gov.co</t>
  </si>
  <si>
    <t>FREDY AUGUSTO CARRERA DOMINGUEZ</t>
  </si>
  <si>
    <t xml:space="preserve"> PRESTAR SERVICIOS DE APOYO EN LA EJECUCION DE ESTRATEGIAS DE COMUNICACION EXTERNA DEL INSTITUTO A TRAVES DE LA GENERACION REDACCION SEGUIMIENTO EN LA DIVULGACION DE CONTENIDOS Y CUBRIMIENTO DE EVENTOS  QUE APORTEN AL POSICIONAMIENTO INSTITUCIONAL              </t>
  </si>
  <si>
    <t>TECNOLOGÍA EN COMUNICACIÓN SOCIAL PERIODISMO</t>
  </si>
  <si>
    <t>Título de Formación técnico o tecnólogo, o terminación y aprobación de materias que conforman el pensum académico - Desde 48 meses hasta 60 meses de experiencia profesional</t>
  </si>
  <si>
    <t>fredy.carrera@idt.gov.co</t>
  </si>
  <si>
    <t>LOREYDY VIVIANA DAZA CABALLERO</t>
  </si>
  <si>
    <t xml:space="preserve"> PRESTAR SERVICIOS PROFESIONALES PARA APOYAR LA RECOLECCION, ORGANIZACION Y ESTRUCTURACION DE DOCUMENTOS Y DEMAS INFORMACION NECESARI A EN ACTIVIDADES ADMINISTRATIVAS MISIONALES Y DE SEGUIMIENTO A COMPROMISOS PROPIOS DE LA SUBDIRECCION DE GESTION DE DESTINO QUE IMPA CTE EN EL CUMPLIMIENTO DEL PROYECTO DE FORTALECIMIENTO DEL SISTEMA TURISTICO DE BOGOTA             </t>
  </si>
  <si>
    <t>TECNOLOGIA EN ADMINISTRACION TURISTICA Y HOTELERA / ADMINISTRACION TURISTICA Y HOTELERA / ESPECIALIZACION EN GERENCIA DE PROYECTOS / TECNOLOGÍA EN CONTABILIDAD Y FINANZAS</t>
  </si>
  <si>
    <t>Título Profesional / Hasta 6 meses experiencia
profesional.</t>
  </si>
  <si>
    <t>loreydy.daza@idt.gov.co</t>
  </si>
  <si>
    <t>DAVID SANTIAGO ZULUAGA CASTAÑO</t>
  </si>
  <si>
    <t xml:space="preserve"> PRESTAR SERVICIOS DE APOYO A LA GESTION EN LAS ACTIVIDADES QUE ADELANTE LA OFICINA ASESORA JURIDICA               </t>
  </si>
  <si>
    <t>CALDAS</t>
  </si>
  <si>
    <t>PENSILVANIA</t>
  </si>
  <si>
    <t>david.zuluaga@idt.gov.co</t>
  </si>
  <si>
    <t>ALISON JULIETH BERNAL ESTUPIÑAN</t>
  </si>
  <si>
    <t xml:space="preserve"> PRESTAR LOS SERVICIOS PROFESIONALES PARA DISEÃ‘AR Y PROPONER ACCIONES ENCAMINADAS A FORTALECER E IMPLEMENTAR EL EJE DE SOSTENIBILIDA D PROGRAMA DE BOGOTÃ DESTINO INTELIGENTE, QUE IMPACTEN EN EL CUMPLIMIENTO DEL PROYECTO DE FORTALECIMIENTO DEL SISTEMA TURÃSTICO DE  BOGOTÃ.             </t>
  </si>
  <si>
    <t>INGENIERÍA INDUSTRIAL</t>
  </si>
  <si>
    <t>NORTE DE SANTANDER</t>
  </si>
  <si>
    <t>CÚCUTA</t>
  </si>
  <si>
    <t>alison.bernal@idt.gov.co</t>
  </si>
  <si>
    <t>CAMILA ANDREA RODRIGUEZ DIAZ</t>
  </si>
  <si>
    <t xml:space="preserve"> PRESTAR SERVICIOS PROFESIONALES PARA APOYAR EN EL SEGUIMIENTO A LOS LINEAMIENTOS DE LA POLITICA DE PARTICIPACION CIUDADANA EN EL MAR CO DEL MODELO INTEGRADO DE PLANEACION Y GESTION INCLUIDO RENDICION DE CUENTAS              </t>
  </si>
  <si>
    <t>camila.rodriguez@idt.gov.co</t>
  </si>
  <si>
    <t>LINA MARCELA LOSADA YEPES</t>
  </si>
  <si>
    <t xml:space="preserve"> PRESTAR LOS SERVICIOS PROFESIONALES PARA APOYAR LAS ACCIONES ENCAMINADAS A LA FORMULACIÃ“N DE LA POLITICA PUBLICA DE TURISMO DEL DIS TRITO QUE IMPACTEN EN EL CUMPLIMIENTO DEL PROYECTO DE FORTALECIMIENTO DEL SISTEMA TURISTICO DE BOGOTA              </t>
  </si>
  <si>
    <t>CIENCIA POLITICA</t>
  </si>
  <si>
    <t>Título Profesional / Hasta 6 meses experiencia profesional.</t>
  </si>
  <si>
    <t>SANTANDER</t>
  </si>
  <si>
    <t>GUADALUPE</t>
  </si>
  <si>
    <t>lina.losada@idt.gov.co</t>
  </si>
  <si>
    <t>ANA MARIA GARCIA TORRES</t>
  </si>
  <si>
    <t xml:space="preserve"> PRESTAR SERVICIOS PROFESIONALES DE COMUNICACION EN LA ELABORACION, APOYO Y EJECUCION DE LA ESTRATEGIA DE COMUNICACION DIGITAL DE LA ENTIDAD A TRAVES DE LA ADMINISTRACION DE LAS REDES SOCIALES INSTITUCIONALES QUE CONTRIBUYAN AL POSICIONAMIENTO DEL IDT COMO ENTE REC TOR DEL TURISMO             </t>
  </si>
  <si>
    <t>COMUNICACION SOCIALY PERIODISMO</t>
  </si>
  <si>
    <t>Título Profesional / Desde 6 meses hasta 18 meses de experiencia profesional</t>
  </si>
  <si>
    <t>ana.garcia@idt.gov.co</t>
  </si>
  <si>
    <t>LESLY JOHANA CHACON DIAZ</t>
  </si>
  <si>
    <t xml:space="preserve"> PRESTAR SERVICIOS PROFESIONALES EN PUBLICIDAD PARA EL DESARROLLO DE ESTRATEGIAS Y COORDINACION DE ACTIVIDADES EN EL COMPONENTE DE CO MUNICACION DIGITAL ENFOCADAS EN EL CUMPLIMIENTO DE METAS DE LOS PROCESOS ESTRATEGICOS DE APOYO Y MISIONALES DEL IDT QUE CONTRIBUYAN AL POSICIONAMIENTO INSTITUCIONAL COMO ENTE RECTOR DEL TURISMO             </t>
  </si>
  <si>
    <t>PUBLICIDAD Y MERCADEO</t>
  </si>
  <si>
    <t>lesly.chacon@idt.gov.co</t>
  </si>
  <si>
    <t>BRIYITH GISELA REYES QUINTERO</t>
  </si>
  <si>
    <t xml:space="preserve"> PRESTAR LOS SERVICIOS PROFESIONALES DE ARQUITECTURA EN LOS PROYECTOS DE INTERVENCION EN ZONAS DE INTERES TURISTICO Y ATRACTIVOS TURI STICOS QUE IMPACTEN EN EL CUMPLIMIENTO DEL PROYECTO DE FORTALECIMIENTO DEL SISTEMA TURISTICO DE BOGOTA              </t>
  </si>
  <si>
    <t>ARQUITECTURA</t>
  </si>
  <si>
    <t>briyith.reyes@idt.gov.co</t>
  </si>
  <si>
    <t>ANDRES FELIPE ESPINOSA ZULUAGA</t>
  </si>
  <si>
    <t xml:space="preserve"> PRESTAR LOS SERVICIOS PROFESIONALES PARA ARTICULAR EL PROCESO DE FORMULACION DE LA POLITICA PUBLICA DE TURISMO DEL DISTRITO QUE IMPA CTEN EN EL CUMPLIMIENTO DEL PROYECTO DE FORTALECIMIENTO DEL SISTEMA TURISTICO DE BOGOTA              </t>
  </si>
  <si>
    <t>CIENCIA POLÍTICA / ESPECIALIZACION EN ANALISIS DE POLITICAS PUBLICAS / MAESTRÌA EN POLITICAS PUBLICAS</t>
  </si>
  <si>
    <t>andres.espinosa@idt.gov.co</t>
  </si>
  <si>
    <t>VIVIANA MARCELA FLOREZ CEPEDA</t>
  </si>
  <si>
    <t xml:space="preserve"> PRESTAR SERVICIOS PROFESIONALES PARA REALIZAR ACCIONES DE MARKETING TURISTICO Y COMUNICACIONES PARA LA DIVULGACION DE LA OFERTA TURI STICA DE BOGOTA              </t>
  </si>
  <si>
    <t>COMUNICACION SOCIAL- PERIODISMO / ESPECIALIZACIÓN EN GESTIÓN PÚBLICA / ESPECIALIZACIÓN EN MERCADEO ESTRATÍGICO</t>
  </si>
  <si>
    <t>viviana.florez@idt.gov.co</t>
  </si>
  <si>
    <t>DIANA CAROLINA SANCHEZ ROMERO</t>
  </si>
  <si>
    <t xml:space="preserve"> PRESTAR SERVICIOS PROFESIONALES ENCAMINADOS AL APOYO EN LA ELABORACION DE DOCUMENTOS GENERACION Y ANALISIS DE INFORMACION CONSTRUCCI ON DE PRESENTACIONES CONSOLIDACION Y ESTRUCTURACION DE ESTUDIOS Y PROYECTOS QUE SE REQUIERAN EN LA DIRECCION DEL IDT</t>
  </si>
  <si>
    <t>MERCADEO / ESPECIALIZACIÓN EN GERENCIA ESTRATÉGICA DE NEGOCIOS</t>
  </si>
  <si>
    <t xml:space="preserve">Título Profesional  - </t>
  </si>
  <si>
    <t>ASESOR(A) DIRECCIÓN GENERAL</t>
  </si>
  <si>
    <t>diana.sanchez@idt.gov.co</t>
  </si>
  <si>
    <t>LEONEL FELIPE CARRILLO DIAZ</t>
  </si>
  <si>
    <t xml:space="preserve"> PRESTAR LOS SERVICIOS PROFESIONALES COMO PROMOTOR DE COMPETITIVIDAD TURISTICA EN LAS LOCALIDADES DEL DISTRITO CAPITAL PARA APOYAR LA  GOBERNANZA DE LOS PROGRAMAS QUE PROPENDAN POR EL DESARROLLO Y PROMOCION DEL TURISMO QUE IMPACTEN EN EL CUMPLIMIENTO DEL PROYECTO DE  FORTALECIMIENTO DEL SISTEMA TURISTICO DE BOGOTA             </t>
  </si>
  <si>
    <t>LICENCIATURA EN BIOLOGIA Y QUIMICA / ESPECIALIZACIÓN EN GERENCIA DE PROYECTOS</t>
  </si>
  <si>
    <t>leonel.carrillo@idt.gov.co</t>
  </si>
  <si>
    <t>MARIA LUISA AGUILERA TOVAR</t>
  </si>
  <si>
    <t xml:space="preserve"> PRESTAR SERVICIOS DE APOYO A LA GESTION EN LA SUBDIRECCION DE GESTION DE DESTINO EN LOS TEMAS RELACIONADOS CON LA ESTRATEGIA DE GEST ION TERRITORIAL QUE IMPACTEN EN EL CUMPLIMIENTO DEL PROYECTO DE FORTALECIMIENTO DEL SISTEMA TURISTICO DE BOGOTA       </t>
  </si>
  <si>
    <t>TECNOLOGIA EN GESTION HOTELERA</t>
  </si>
  <si>
    <t>maria.aguilera@idt.gov.co</t>
  </si>
  <si>
    <t>AYDA LUCY RODRIGUEZ NOPE</t>
  </si>
  <si>
    <t xml:space="preserve">PRESTAR SERVICIOS PROFESIONALES EN LA DEFINICION EJECUCION Y SEGUIMIENTO DE ACTIVIDADES EN EL MARCO DEL SISTEMA INTEGRADO DE GESTION  SIG  EL MODELO INTEGRADO DE PLANEACIN Y GESTION MIPG Y LOS PLANES DE ACCIN DEL PROCESO DE COMUNICACIONES DE IGUAL MANERA EN LA COOR DINACIN DE EQUIPO Y APOYO ADMINISTRATIVO DE ACUERDO A LO REQUERIDO POR EL AREA          </t>
  </si>
  <si>
    <t>ayda.rodriguez@idt.gov.co</t>
  </si>
  <si>
    <t>CARLOS ALBERTO FLOREZ RAMIREZ</t>
  </si>
  <si>
    <t xml:space="preserve"> PRESTAR SERVICIOS PARA PREPRODUCCION PRODUCCION Y POSTPRODUCCION AUDIOVISUAL CUBRIMIENTO DE EVENTOS INTERNOS Y EXTERNOS EDICION Y GE NERACION DE PRODUCTOS ENMARCADOS EN LA ESTRATEGIA COMUNICACIONAL DEL IDT     </t>
  </si>
  <si>
    <t>TECNOLOGÍA EN SISTEMAS DE INFORMACIÓN / INGENIERÍA DE SISTEMAS / COMUNICACIÓN SOCIAL</t>
  </si>
  <si>
    <t>Título Profesional Desde 24 meses hasta 36 meses de experiencia profesional</t>
  </si>
  <si>
    <t>carlos.florez@idt.gov.co</t>
  </si>
  <si>
    <t>NANCY GABRIELA VARGAS PAJOY</t>
  </si>
  <si>
    <t xml:space="preserve"> PRESTAR LOS SERVICIOS PROFESIONALES PARA APOYAR ACCIONES EN EL MARCO DE LA ESTRATEGIA DE SEGURIDAD TURISTICA QUE IMPACTEN EN EL FORT ALECIMIENTO DE LA CULTURA Y RESPONSABILIDAD TURISTICA DEL SISTEMA TURISTICO DE BOGOTA              </t>
  </si>
  <si>
    <t>ADMINISTRACION DE EMPRESAS / ESPECIALIZACION EN GERENCIA SOCIAL / ESPECIALIZACIÓN EN GESTIÓN PÚBLICA / ESPECIALIZACION EN "FINANZAS Y ADMINISTRACION PUBLICA / MAESTRIA EN GERENCIA SOCIAL</t>
  </si>
  <si>
    <t>nancy.vargas@idt.gov.co</t>
  </si>
  <si>
    <t>BISMARCK ALFREDO CAICEDO MENDEZ</t>
  </si>
  <si>
    <t xml:space="preserve"> PRESTAR SERVICIOS DE APOYO A LA GESTION PARA REALIZAR RECOLECCION Y SINCRONIZACION DE INFORMACION DE LAS OPERACIONES ESTADISTICAS Y NO ESTADISTICAS ASIGNADAS </t>
  </si>
  <si>
    <t>COMUNICACION SOCIAL- PERIODISMO</t>
  </si>
  <si>
    <t>bismarck.caicedo@idt.gov.co</t>
  </si>
  <si>
    <t>HECTOR HERNANDO GARCIA BERNAL</t>
  </si>
  <si>
    <t xml:space="preserve"> PRESTAR LOS SERVICIOS PROFESIONALES PARA APOYAR LA ESTRUCTURACION Y LA EJECUCIÃ“N DE LOS PROYECTOS DE INFRAESTRUCTURA TURISTICA QUE IMPACTEN EN EL CUMPLIMIENTO DEL PROYECTO DE FORTALECIMIENTO DEL SISTEMA TURISTICO DE BOGOTA              </t>
  </si>
  <si>
    <t>ARQUITECTURA / ESPECIALIZACION EN GERENCIA DE OBRAS</t>
  </si>
  <si>
    <t>hector.garcia@idt.gov.co</t>
  </si>
  <si>
    <t>JOSE DANIEL TORRES PEREZ</t>
  </si>
  <si>
    <t xml:space="preserve">PRESTAR SERVICIOS DE APOYO A LA GESTION EN LA ESTRUCTURACION DESARROLLO Y PUESTA EN MARCHA DE TODOS LOS PRODUCTOS TURISTICOS PRIORIZ ADOS QUE LIDERE LA SUBDIRECCION DE GESTION DE DESTINO QUE IMPACTEN EN EL CUMPLIMIENTO DEL PROYECTO DE FORTALECIMIENTO DEL SISTEMA TU RISTICO DE BOGOTA             </t>
  </si>
  <si>
    <t>TECNOLOGÍA EN GUIANZA TURÍSTICA</t>
  </si>
  <si>
    <t>Título de Formación técnico o tecnólogo, o terminación y aprobación de materias que conforman el pensum académico / Desde 48 meses hasta 60 meses de experiencia laboral</t>
  </si>
  <si>
    <t>jose.torres@idt.gov.co</t>
  </si>
  <si>
    <t>VICTOR IVAN FERNANDEZ PLAZA</t>
  </si>
  <si>
    <t xml:space="preserve"> PRESTAR SERVICIOS DE APOYO A LA GESTION ENTRE LA ASESORIA DE COMUNICACIONES Y LOS DEMAS PROCESOS DEL INSTITUTO  GARANTIZANDO UN ADEC UADO ENLACE ENTRE LAS AREAS DEL IDT ADEMAS DE ACTIVIDADES DE TIPO LOGISTICO ADMINISTRATIVO Y DEMAS SOLICITUDES QUE SE GENEREN EN LA INSTITUCION           </t>
  </si>
  <si>
    <t>Título Bachiller - Entre 0 a 18 meses de experiencia laboral</t>
  </si>
  <si>
    <t>MAGDALENA</t>
  </si>
  <si>
    <t>SANTA MARTA</t>
  </si>
  <si>
    <t>victor.fernandez@idt.gov.co</t>
  </si>
  <si>
    <t>LUIS JAVIER MONCALEANO VARGAS</t>
  </si>
  <si>
    <t xml:space="preserve"> PRESTAR SERVICIOS PROFESIONALES PARA MANTENER EL SISTEMA DE GESTION AMBIENTAL DE MANERA ARTICULADA CON LOS DIFERENTES PROYECTOS INST ITUCIONALES   </t>
  </si>
  <si>
    <t>ADMINISTRACIÓN Y GESTIÓN AMBIENTAL</t>
  </si>
  <si>
    <t>luis.moncaleano@idt.gov.co</t>
  </si>
  <si>
    <t>NATALIA MARIA BOCANEGRA TOVAR</t>
  </si>
  <si>
    <t xml:space="preserve"> PRESTAR LOS SERVICIOS PROFESIONALES PARA REALIZAR EL ACOMPANAMIENTO Y SEGUIMIENTO A LA GOBERNANZA DE LOS PROGRAMAS QUE PROPENDAN POR  EL DESARROLLO Y PROMOCION DEL TURISMO QUE IMPACTEN EN EL CUMPLIMIENTO DEL PROYECTO DE FORTALECIMIENTO DEL SISTEMA TURISTICO DE BOGO TA     </t>
  </si>
  <si>
    <t>PSICOLOGIA / ESPECIALIZACIÓN EN PSICOLOGÍA SOCIAL</t>
  </si>
  <si>
    <t>natalia.bocanegra@idt.gov.co</t>
  </si>
  <si>
    <t>DIEGO ALEJANDRO RODRIGUEZ GUERRERO</t>
  </si>
  <si>
    <t xml:space="preserve">PRESTAR SERVICIOS PROFESIONALES PARA APOYAR LA ELABORACION ANALISIS Y PRESENTACION DE INFORMACION COYUNTURAL DEL SECTOR TURISMO ASI COMO REALIZAR LA IMPLEMENTACION DE SOLUCIONES DE MINERIA DE DATOS Y HERRAMIENTAS DE BUSINESS INTELLIGENCE QUE GARANTICEN EL ACCESO A  LA INFORMACION EN EL SISTEMA DE INFORMACION TURISTICA DE BOGOTA Y CONTRIBUYAN A LA TRANSFORMACION DIGITAL DEL OBSERVATORIO DE TURIS MO            </t>
  </si>
  <si>
    <t>ECONOMIA / ESPECIALIZACIÓN EN ECONOMÍA</t>
  </si>
  <si>
    <t>Título Profesional - No requiere experiencia</t>
  </si>
  <si>
    <t>diego.rodriguez@idt.gov.co</t>
  </si>
  <si>
    <t>JHON FREDY MUÑOZ GOMEZ</t>
  </si>
  <si>
    <t xml:space="preserve"> PRESTAR SERVICIOS PROFESIONALES PARA APOYAR LA COMPILACION ESTRUCTURACION Y ANALISIS DE INFORMACION GEOESPACIAL REQUERIDA EN LA REAL IZACION DE LOS ESTUDIOS Y PROYECTOS DE ASISTENCIA TECNICA REALIZADOS POR LA ENTIDAD       </t>
  </si>
  <si>
    <t>INGENIERIA TOPOGRAFICA / ESPECIALIZACION EN AVALUOS</t>
  </si>
  <si>
    <t>jhon.muñoz@idt.gov.co</t>
  </si>
  <si>
    <t>CATALINA ORJUELA MARTÍNEZ</t>
  </si>
  <si>
    <t>PRESTAR LOS SERVICIOS PROFESIONALES A LA SUBDIRECCIÓN DE GESTIÓN DE DESTINO, PARA APOYAR LA IMPLEMENTACIÓN DE LAS ACCIONES DE FORTALECIMIENTO DEL PRODUCTO TURÍSTICO DE NATURALEZA QUE PERMITAN FORTALECER EL ENFOQUE DE BIENESTAR Y BICITURISMO EN LA CIUDAD DE BOGOTÁ Y LA REGIÓN, QUE IMPACTEN EN EL CUMPLIMIENTO DEL PROYECTO DE FORTALECIMIENTO DEL SISTEMA TURÍSTICO DE BOGOTÁ</t>
  </si>
  <si>
    <t>ADMINISTRACION DE EMPRESAS / Máster en Economía del Turismo y Medio
Ambiente</t>
  </si>
  <si>
    <t>Título Profesional Desde 36 meses hasta 48 meses de experiencia profesional</t>
  </si>
  <si>
    <t>catalina.orjuela@idt.gov.co</t>
  </si>
  <si>
    <t xml:space="preserve">ANDRES MAURICIO CASTELLANOS CARRASCAL </t>
  </si>
  <si>
    <t>PRESTAR LOS SERVICIOS PROFESIONALES COMO PROMOTOR DE COMPETITIVIDAD TURÍSTICA EN LAS LOCALIDADES DEL DISTRITO CAPITAL PARA APOYAR LA GOBERNANZA DE LOS PROGRAMAS QUE PROPENDEN POR EL DESARROLLO Y PROMOCIÓN DEL TURISMO, QUE IMPACTEN EN EL CUMPLIMIENTO DEL PROYECTO DE FORTALECIMIENTO DEL SISTEMA TURÍSTICO DE BOGOTÁ</t>
  </si>
  <si>
    <t>ADMINISTRACION DE EMPRESAS / ESPECIALIZACION EN MERCADEO INTERNACIONAL</t>
  </si>
  <si>
    <t>andres.castellanos@idt.gov.co</t>
  </si>
  <si>
    <t>CAMILA ANDREA GOMEZ BORJA</t>
  </si>
  <si>
    <t xml:space="preserve">PRESTAR LOS SERVICIOS PROFESIONALES COMO APOYO TRANSVERSAL A LOS PROCESOS DE GESTIÓN TERRITORIAL DESARROLLADOS POR LA SUBDIRECCIÓN DE GESTIÓN DE DESTINO, QUE IMPACTEN EN EL CUMPLIMIENTO DEL PROYECTO DE FORTALECIMIENTO DEL SISTEMA TURÍSTICO DE BOGOTÁ. </t>
  </si>
  <si>
    <t>TECNOLOGÍA EN GUIANZA TURÍSTICA / ADMINISTRACIÓN TURÍSTICA Y HOTELERA / ESPECIALIZACIÓN EN GERENCIA DE
MERCADEO</t>
  </si>
  <si>
    <t>camila.gomez@idt.gov.co</t>
  </si>
  <si>
    <t>ANGELA MILENA PANTOJA GARZÓN</t>
  </si>
  <si>
    <t xml:space="preserve">PRESTAR SERVICIOS PROFESIONALES PARA APOYAR EL FORTALECIMIENTO DEL PRODUCTO TURÍSTICO DE NATURALEZA Y DE SUS COMPONENTES RURAL Y COMUNITARIO, EN EL ÁMBITO DE BOGOTÁ Y LA REGIÓN, QUE IMPACTE EN EL CUMPLIMIENTO DEL PROYECTO DE FORTALECIMIENTO DEL SISTEMA TURÍSTICO DE BOGOTÁ </t>
  </si>
  <si>
    <t>angela.pantoja@idt.gov.co</t>
  </si>
  <si>
    <t>LAURA VANESSA MIRQUE CASTRO</t>
  </si>
  <si>
    <t xml:space="preserve"> PRESTAR SERVICIOS PROFESIONALES PARA APOYAR EL DESARROLLO LOGISTICO Y DIFUSION DE LAS OPERACIONES ESTADISTICAS Y NO ESTADISTICAS ASI  COMO APOYAR LAS RESPUESTAS A SOLICITUDES INTERNAS Y EXTERNAS RECIBIDAS POR EL AREA     </t>
  </si>
  <si>
    <t>laura.mirque@idt.gov.co</t>
  </si>
  <si>
    <t>DIANA ROCÍO ROZO DAZA</t>
  </si>
  <si>
    <t xml:space="preserve">PRESTAR SERVICIOS PROFESIONALES QUE CONTRIBUYAN AL FORTALECIMIENTO DE LA CULTURA Y RESPONSABILIDAD TURÍSTICA A PARTIR DEL FOMENTO A LA PREVENCIÓN DE LA ESCNNA Y LA TRATA DE PERSONAS EN EL CONTEXTO DEL TURISMO POR PARTE DE LOS ACTORES RELACIONADOS A LA CADENA DE VALOR DEL TURISMO EN BOGOTÁ. </t>
  </si>
  <si>
    <t>ADMINISTRACIÓN DE EMPRESAS HOTELERAS / ESPECIALIZACIÓN ORGANIZACIÓN INTEGRAL DE EVENTOS</t>
  </si>
  <si>
    <t>diana.rozo@idt.gov.co</t>
  </si>
  <si>
    <t>MILE LORENA PIÑEROS DUEÑAS</t>
  </si>
  <si>
    <t>PRESTAR SERVICIOS PROFESIONALES PARA APOYAR LA ELABORACIÓN, ANÁLISIS Y PRESENTACIÓN DE LA INFORMACIÓN DEL MERCADO LABORAL SUBSECTOR TURISMO; ASÍ COMO REALIZAR LA CONSOLIDACIÓN DE LOS PRINCIPALES INDICADORES DEL SECTOR TURISMO PARA LA CIUDAD.</t>
  </si>
  <si>
    <t>ECONOMÍA</t>
  </si>
  <si>
    <t>mile.piñeros@idt.gov.co</t>
  </si>
  <si>
    <t>JOSE RICARDO BECERRA CONDE</t>
  </si>
  <si>
    <t>Título Bachiller Desde 18 meses hasta 36 meses de experiencia laboral</t>
  </si>
  <si>
    <t>jose.becerra@idt.gov.co</t>
  </si>
  <si>
    <t>MARIA FERNANDA BEJARANO ORDOÑEZ</t>
  </si>
  <si>
    <t xml:space="preserve">PRESTAR SERVICIOS DE APOYO ADMINISTRATIVO Y DE GESTION DOCUMENTAL PARA LA OFICINA ASESORA DE PLANEACION            </t>
  </si>
  <si>
    <t>ESPECIALIZACIÓN TECNOLÓGICA EN GESTIÓN DE PROYECTOS</t>
  </si>
  <si>
    <t>Título de Formación técnico o tecnólogo, o terminación y aprobación de materias que conforman el pensum académico Desde  12 meses y hasta 48 meses de experiencia laboral</t>
  </si>
  <si>
    <t>maria.bejarano@idt.gov.co</t>
  </si>
  <si>
    <t>KATHERYN MAYERLY CABRERA ROA</t>
  </si>
  <si>
    <t xml:space="preserve"> PRESTAR SERVICIOS DE APOYO A LA GESTION PARA REALIZAR RECOLECCION Y SINCRONIZACION DE INFORMACION DE LAS OPERACIONES ESTADISTICAS Y NO ESTADISTICAS ASIGNADAS     </t>
  </si>
  <si>
    <t>Título Bachiller - Entre 0 y 18 meses de experiencia laboral</t>
  </si>
  <si>
    <t>katheryn.cabrera@idt.gov.co</t>
  </si>
  <si>
    <t>ERICK YONATHAN PINZON HORTUA</t>
  </si>
  <si>
    <t xml:space="preserve"> PRESTAR SERVICIOS PROFESIONALES PARA APOYAR LA FUNCIONALIDAD Y CONTROL DE LAS HERRAMIENTAS DE SEGUIMIENTO A LA GESTION INSTITUCIONAL         </t>
  </si>
  <si>
    <t>INGENIERÍA ELECTRÓNICA</t>
  </si>
  <si>
    <t>Título de Formación técnico o tecnólogo, o terminación y aprobación de materias que conforman el pensum académico - Entre 0 y 18 meses de experiencia laboral</t>
  </si>
  <si>
    <t>META</t>
  </si>
  <si>
    <t>VILLAVICENCIO</t>
  </si>
  <si>
    <t>erick.pinzon@idt.gov.co</t>
  </si>
  <si>
    <t>SERGIO SEBASTIAN AREVALO GARZON</t>
  </si>
  <si>
    <t xml:space="preserve"> PRESTAR SERVICIOS PROFESIONALES PARA APOYAR LAS ACCIONES DE CONTROL Y SEGUIMIENTO AL DESARROLLO DE LAS ACTIVIDADES DE RECOLECCION Y SINCRONIZACION DE INFORMACION DE LAS OPERACIONES ESTADISTICAS Y NO ESTADISTICAS ASIGNADAS   </t>
  </si>
  <si>
    <t>INGENIERIA MECATRONICA</t>
  </si>
  <si>
    <t>sergio.arevalo@idt.gov.co</t>
  </si>
  <si>
    <t>LORENA ELIZABETH MORA LIZARAZO</t>
  </si>
  <si>
    <t xml:space="preserve"> PRESTAR SERVICIOS PROFESIONALES PARA APOYAR AL INSTITUTO DISTRITAL DE TURISMO EN EL DESARROLLO DE ACCIONES DE FORTALECIMIENTO DE LOS  PRODUCTOS TURISTICOS PRIORIZADOS CON ENFASIS EN URBANO Y CULTURAL QUE IMPACTEN EN EL CUMPLIMIENTO DEL PROYECTO DE FORTALECIMIENTO D EL SISTEMA TURISTICO DE BOGOTA    </t>
  </si>
  <si>
    <t>Título Profesional - Desde 48 meses hasta 60 meses de experiencia profesional</t>
  </si>
  <si>
    <t>lorena.mora@idt.gov.co</t>
  </si>
  <si>
    <t>FLOR EDITH OSTOS ANGULO</t>
  </si>
  <si>
    <t xml:space="preserve"> PRESTAR SERVICIOS PROFESIONALES PARA DIRIGIR Y DESARROLLAR LAS ACTIVIDADES DE SEGURIDAD Y SALUD EN EL TRABAJO SST SALUD OCUPACIONAL LABORAL Y AFINES DESDE LA SUBDIRECCION DE GESTION CORPORATIVA    </t>
  </si>
  <si>
    <t>SALUD OCUPACIONAL</t>
  </si>
  <si>
    <t>CAPARRAPÍ</t>
  </si>
  <si>
    <t>flor.ostos@idt.gov.co</t>
  </si>
  <si>
    <t>MOISES OLIVO ROJAS VEGA</t>
  </si>
  <si>
    <t>Título de bachiller / Desde 18 meses hasta 36 meses
de experiencia laboral.</t>
  </si>
  <si>
    <t>SAN MARTÍN</t>
  </si>
  <si>
    <t>moises.rojas@idt.gov.co</t>
  </si>
  <si>
    <t>CAROLINA  CACERES SALAZAR</t>
  </si>
  <si>
    <t xml:space="preserve"> PRESTAR SERVICIOS DE APOYO A LA GESTION EN LA ELABORACION DE PIEZAS COMUNICATIVAS CON DISENO GRAFICO EN EL MARCO DE LA ESTRATEGIA DE  REACTIVACION ECONOMICA DEL SECTOR TURISMO     </t>
  </si>
  <si>
    <t>TECNICA PROFESIONAL EN DISEÑO GRAFICO</t>
  </si>
  <si>
    <t>Título de Formación técnico o tecnólogo, o terminación y aprobación de materias que conforman el pensum académico / Desde  48 meses y hasta 60 meses de experiencia laboral</t>
  </si>
  <si>
    <t>MANIZALES</t>
  </si>
  <si>
    <t>carolina.caceres@idt.gov.co</t>
  </si>
  <si>
    <t>LUIS DAVID CALDERON ALVAREZ</t>
  </si>
  <si>
    <t xml:space="preserve">PRESTAR LOS SERVICIOS DE ACOMPAÑAMIENTO Y SEGUIMIENTO A LOS PROGRAMAS QUE PROPENDAN POR EL DESARROLLO Y PROMOCIÓN DEL TURISMO, QUE IMPACTEN EN EL CUMPLIMIENTO DEL PROYECTO DE FORTALECIMIENTO DEL SISTEMA TURÍSTICO DE BOGOTÁ  </t>
  </si>
  <si>
    <t>luis.calderon@idt.gov.co</t>
  </si>
  <si>
    <t>ABEL ANDRES BERNAL OLAYA</t>
  </si>
  <si>
    <t xml:space="preserve"> PRESTAR LOS SERVICIOS PROFESIONALES PARA REALIZAR LA REVISION ELABORACION Y CONSOLIDACION DE LOS DISTINTOS DOCUMENTOS REQUERIDOS EN EL PROCESO DE FORMULACION DE LA POLITICA PUBLICA DE TURISMO QUE IMPACTEN EN EL CUMPLIMIENTO DEL PROYECTO DE FORTALECIMIENTO DEL SIST EMA TURÃSTICO DE BOGOTA      </t>
  </si>
  <si>
    <t>PSICOLOGIA / ESPECIALIZACIÓN EN PLANEACIÓN,GESTIÓN Y CONTROL DEL DESARROLLO</t>
  </si>
  <si>
    <t>abel.bernal@idt.gov.co</t>
  </si>
  <si>
    <t>ANGELICA MARIA CARDENAS BOTERO</t>
  </si>
  <si>
    <t xml:space="preserve"> PRESTAR SERVICIOS PROFESIONALES A LA SUBDIRECCION DE GESTION CORPORATIVA PARA LA ADMINISTRACION DEL PROCESO DE ATENCION AL CIUDADANO  A TRAVES DE LOS COMPONENTES DE TRANSPARENCIA PLAN ANTICORRUPCION Y ATENCION AL CIUDADANO PAAC Y RESPUESTA A LAS PETICIONES QUEJAS R ECLAMOS SUGERENCIAS Y DENUNCIAS PQRSD REALIZADAS AL INSTITUTO DISTRITAL DE TURISMO             </t>
  </si>
  <si>
    <t>ECONOMIA</t>
  </si>
  <si>
    <t>angelica.cardenas@idt.gov.co</t>
  </si>
  <si>
    <t xml:space="preserve">MARTHA LIGIA CASTELLANOS RODRIGUEZ </t>
  </si>
  <si>
    <t>PRESTAR LOS SERVICIOS PROFESIONALES PARA REALIZAR ACOMPAÑAMIENTO ADMINISTRATIVO A LA EJECUCIÓN DE LOS PROYECTOS DE INFRAESTRUCTURA TURÍSTICA, QUE IMPACTEN EN EL CUMPLIMIENTO DEL PROYECTO DE FORTALECIMIENTO DEL SISTEMA TURÍSTICO DE BOGOTÁ</t>
  </si>
  <si>
    <t>ADMINISTRACION DE EMPRESAS</t>
  </si>
  <si>
    <t>martha.castellanos@idt.gov.co</t>
  </si>
  <si>
    <t>ROCIO ALEIDA MELO CACHAY</t>
  </si>
  <si>
    <t xml:space="preserve"> PRESTAR SERVICIOS DE APOYO A LA GESTION PARA REALIZAR RECOLECCION Y SINCRONIZACION DE INFORMACION DE LAS OPERACIONES ESTADISTICAS Y NO ESTADISTICAS ASIGNADAS              </t>
  </si>
  <si>
    <t xml:space="preserve">TECNOLOGIA EN INGENIERIA INDUSTRIAL </t>
  </si>
  <si>
    <t>rocio.melo@idt.gov.co</t>
  </si>
  <si>
    <t>JULIO CESAR MURCIA BECERRA</t>
  </si>
  <si>
    <t xml:space="preserve"> PRESTAR SERVICIOS PROFESIONALES PARA APOYAR AL INSTITUTO DISTRITAL DE TURISMO EN LOS ASPECTOS RELACIONADOS CON TECNOLOGIAS DE LA INF ORMACION Y LA COMUNICACION COMO HABILITADOR EN EL DESARROLLO DE ESTRATEGIAS PARA EL FORTALECIMIENTO DEL SISTEMA TURISTICO DE BOGOTA              </t>
  </si>
  <si>
    <t>ADMINISTRACIÓN DE EMPRESAS - CICLO PROFESIONAL</t>
  </si>
  <si>
    <t>julio.murcia@idt.gov.co</t>
  </si>
  <si>
    <t>MARTHA IBETTE CORREA OLARTE</t>
  </si>
  <si>
    <t xml:space="preserve">PRESTAR LOS SERVICIOS PROFESIONALES PARA ARTICULAR Y DESARROLLAR LAS ACCIONES QUE SE DEFINAN PARA LOS PROGRAMAS DE FORMACIÓN, QUE IMPACTEN EN EL CUMPLIMIENTO DEL PROYECTO DE FORTALECIMIENTO DEL SISTEMA TURÍSTICO DE BOGOTÁ  </t>
  </si>
  <si>
    <t>LICENCIATURA EN EDUCACION FISICA / ESPECIALIZACION EN ADMINISTRACION DE LA EDUCACION FISICA EL DEPORTE / MAESTRIA EN EDUCACIÓN</t>
  </si>
  <si>
    <t>GUEPSA</t>
  </si>
  <si>
    <t>martha.correa@idt.gov.co</t>
  </si>
  <si>
    <t>YENNY CATERINE ORTIZ LARA</t>
  </si>
  <si>
    <t xml:space="preserve"> PRESTAR SERVICIOS PROFESIONALES PARA APOYAR LAS ACTIVIDADES RELACIONADAS CON LA DEFINICIÃ“N Y DISENO DEL PRODUCTO TURISTICO CULTURAL  DE GASTRONOMIA Y LA DEFINICION DE ACTIVIDADES PARA EL FORTALECIMIENTO DEL SISTEMA ARTESANAL DE LA CIUDAD QUE IMPACTEN EN EL CUMPLIM IENTO DEL PROYECTO DE FORTALECIMIENTO DEL SISTEMA TURISTICO DE BOGOTA             </t>
  </si>
  <si>
    <t>ADMINISTRACION TURISTICA Y HOTELERA 1</t>
  </si>
  <si>
    <t>yenny.ortiz@idt.gov.co</t>
  </si>
  <si>
    <t>DANIEL  HERNANDEZ ARANDA</t>
  </si>
  <si>
    <t xml:space="preserve"> PRESTAR LOS SERVICIOS PROFESIONALES EN EL DISENO CREACION DE CONTENIDO FORMATIVO SOPORTE A LOS USUARIOS Y GESTION EN LA ADMINISTRACI ON EN LA PLATAFORMA MOODLE COMO PARTE DEL CUMPLIMIENTO DEL PROYECTO DE FORTALECIMIENTO DEL SISTEMA TURISTICO DE BOGOTA              </t>
  </si>
  <si>
    <t xml:space="preserve">PROFESIONAL EN MEDIOS AUDIOVISUALES </t>
  </si>
  <si>
    <t>daniel.hernandez@idt.gov.co</t>
  </si>
  <si>
    <t>NATALIA CADENA MORENO</t>
  </si>
  <si>
    <t xml:space="preserve">PRESTAR LOS SERVICIOS PROFESIONALES EN LAS ACCIONES ENCAMINADAS A FORTALECER ESTRATEGIAS DE CAPACITACIÓN Y EMPRENDIMIENTO PARA EL DESARROLLO EMPRESARIAL, QUE IMPACTEN EN EL CUMPLIMIENTO DEL PROYECTO DE FORTALECIMIENTO DEL SISTEMA TURÍSTICO DE BOGOTÁ. </t>
  </si>
  <si>
    <t>natalia.cadena@idt.gov.co</t>
  </si>
  <si>
    <t>DOUGLAS ARMANDO CHANAGA CAÑAS</t>
  </si>
  <si>
    <t xml:space="preserve"> PRESTAR LOS SERVICIOS PROFESIONALES PARA APOYAR LAS ACCIONES ENCAMINADAS A LA IDENTIFICACION Y FORTALECIMIENTO DE UNIDADES PRODUCTIV AS ENCAMINADAS A LA ESTRATEGIA DE DESARROLLO EMPRESARIA, QUE IMPACTEN EN EL CUMPLIMIENTO DEL PROYECTO DE FORTALECIMIENTO DEL SISTEMA  TURISTICO DE BOGOTA             </t>
  </si>
  <si>
    <t>douglas.chanaga@idt.gov.co</t>
  </si>
  <si>
    <t>EDWIN JOSE VERGARA MORALES</t>
  </si>
  <si>
    <t xml:space="preserve"> PRESTAR LOS SERVICIOS PROFESIONALES PARA APOYAR JURÍDICAMENTE EN LAS NECESIDADES CONTRACTUALES, Y DEMÁS PROCESOS TRANSVERSALES DE LA SUBDIRECCIÓN DE GESTIÓN DE DESTINO, QUE IMPACTEN EN EL CUMPLIMIENTO DEL PROYECTO DE FORTALECIMIENTO DEL SISTEMA TURÍSTICO DE BOGOTÁ.</t>
  </si>
  <si>
    <t>DERECHO / ESPECIALIZACION EN GERENCIA PUBLICA Y CONTROL FISCAL</t>
  </si>
  <si>
    <t>edwin.vergara@idt.gov.co</t>
  </si>
  <si>
    <t>NATALIA  VALENCIA MEJIA</t>
  </si>
  <si>
    <t xml:space="preserve"> PRESTAR LOS SERVICIOS PROFESIONALES PARA APOYAR JURÍDICAMENTE A LA SUBDIRECCIÓN DE GESTIÓN DE DESTINO EN LOS PROCESOS DE CONTRATACIÓN Y EJECUCIÓN CONTRACTUAL, ARTICULACIÓN Y CONVENIOS, DE LOS PROYECTOS DE OBRAS E INFRAESTRUCTURA, QUE IMPACTEN EN EL CUMPLIMIENTO DEL PROYECTO DE FORTALECIMIENTO DEL SISTEMA TURÍSTICO DE BOGOTÁ.</t>
  </si>
  <si>
    <t>DERECHO / ESPECIALIZACION EN DERECHO COMERCIAL / ESPECIALIZACIÓN EN CONTRATACION ESTATAL / ESPECIALIZACION EN DERECHO MARITIMO / ESPECIALIZACION  EN GESTION DE LOS SERVICIOS PUBLICOS DOMICILIARIOS / MASTER OF LAWS LLM</t>
  </si>
  <si>
    <t>natalia.valencia@idt.gov.co</t>
  </si>
  <si>
    <t xml:space="preserve">YINETH VARGAS BAUTISTA </t>
  </si>
  <si>
    <t>PRESTAR SERVICIOS PROFESIONALES PARA APOYAR AL PROCESO DE TALENTO HUMANO EN EL DESARROLLO DE LAS ACTIVIDADES PROPIAS DE LA NUEVA ESTRUCTURA Y PLANTA DE PERSONAL DEL INSTITUTO DISTRITAL DE TURISMO.</t>
  </si>
  <si>
    <t>ADMINISTRACIÓN DE EMPRESAS / ESPECIALIZACIÓN EN POLITICA SOCIAL</t>
  </si>
  <si>
    <t>CAQUETÁ</t>
  </si>
  <si>
    <t>EL DONCELLO</t>
  </si>
  <si>
    <t>yineth.vargas@idt.gov.co</t>
  </si>
  <si>
    <t xml:space="preserve">JESUS ALEJANDRO VARGAS QUINTERO </t>
  </si>
  <si>
    <t>PRESTAR LOS SERVICIOS PROFESIONALES PARA DISEÑAR E IMPLEMENTAR UN SISTEMA DISTRITAL DE CALIDAD TURÍSTICA Y APOYAR EN LOS DIFERENTES PROGRAMAS RELACIONADOS CON EL PLAN DE TRABAJO DE DTI QUE IMPACTE EN EL CUMPLIMIENTO DEL PROYECTO DE FORTALECIMIENTO DEL SISTEMA TURÍSTICO DE BOGOTÁ.</t>
  </si>
  <si>
    <t>ADMINISTRACION DE EMPRESAS TURISTICAS / ESPECIALIZACION EN ADMINISTRACION Y GERENCIA DE SISTEMAS DE LA CALIDAD</t>
  </si>
  <si>
    <t>MEDELLÍN</t>
  </si>
  <si>
    <t>jesus.vargas@idt.gov.co</t>
  </si>
  <si>
    <t>ANGELICA PAOLA REYES BARRETO</t>
  </si>
  <si>
    <t>PRESTAR SERVICIOS PROFESIONALES PARA GESTIONAR LA LIQUIDACIÓN DE CONTRATOS Y APOYAR DESDE EL PUNTO DE VISTA JURÍDICO A LA SUBDIRECCIÓN DE GESTIÓN CORPORATIVA</t>
  </si>
  <si>
    <t>Título Profesional - Hasta 6 meses de experiencia profesional</t>
  </si>
  <si>
    <t>TOCAIMA</t>
  </si>
  <si>
    <t>angelica.reyes@idt.gov.co</t>
  </si>
  <si>
    <t>MYRIAM ALEJANDRA MONTAÑO BONILLA</t>
  </si>
  <si>
    <t xml:space="preserve"> PRESTAR SERVICIOS PROFESIONALES PARA LA IMPLEMENTACION DE ESTRATEGIAS PROGRAMAS Y ACTIVIDADES DEL SISTEMA INTEGRADO DE CONSERVACION SIC COMO PARTE DE LA GESTION DOCUMENTAL DEL INSTITUTO DISTRITAL DE TURISMO              </t>
  </si>
  <si>
    <t>CONSERVACION Y RESTAURACION DE BIENES MUEBLES</t>
  </si>
  <si>
    <t>myriam.montaño@idt.gov.co</t>
  </si>
  <si>
    <t>MAIRA ALEJANDRA ROBLES TORO</t>
  </si>
  <si>
    <t>PRESTAR LOS SERVICIOS PROFESIONALES COMO PROMOTOR DE COMPETITIVIDAD TURÍSTICA EN LAS LOCALIDADES DEL DISTRITO CAPITAL PARA APOYAR LA GOBERNANZA DE LOS PROGRAMAS QUE PROPENDAN POR EL DESARROLLO Y PROMOCIÓN DEL TURISMO, QUE IMPACTEN EN EL CUMPLIMIENTO DEL PROYECTO DE FORTALECIMIENTO DEL SISTEMA TURÍSTICO DE BOGOTÁ</t>
  </si>
  <si>
    <t>LICENCIATURA EN LENGUA CASTELLANA Y COMUNICACIÓN / ESPECIALIZACION EN ORIENTACION VOCACIONAL Y OCUPACIONAL</t>
  </si>
  <si>
    <t>HACARI</t>
  </si>
  <si>
    <t>maira.robles@idt.gov.co</t>
  </si>
  <si>
    <t>EDWARD ROLANDO SUAREZ GOMEZ</t>
  </si>
  <si>
    <t>PRESTAR SERVICIOS PROFESIONALES A LA OFICINA ASESORA DE PLANEACIÓN PARA APOYAR LA SOSTENIBILIDAD Y DESARROLLO DEL MODELO INTEGRADO DE PLANEACIÓN Y GESTIÓN MIPG Y EL FORTALECIMIENTO DE LOS ESTÁNDARES ESTABLECIDOS POR LA NORMA ISO 9001: 2015 DENTRO DEL SISTEMA INTEGRADO DE GESTIÓN</t>
  </si>
  <si>
    <t>INGENIERIA INDUSTRIAL</t>
  </si>
  <si>
    <t>edward.suarez@idt.gov.co</t>
  </si>
  <si>
    <t>ANDRES FELIPE TELLEZ MONTOYA</t>
  </si>
  <si>
    <t xml:space="preserve"> PRESTAR SERVICIOS PROFESIONALES PARA EL DISENO DE PIEZAS GRAFICAS Y PRESENTACIONES QUE CONTRIBUYAN A LA DIFUSION DE INFORMACION CLAR A Y EFECTIVA DE LA GESTION INSTITUCIONAL A LOS DIFERENTES PUBLICOS RESPONDIENDO ASI A LA ESTRATEGIA DE COMUNICACION DEL IDT              </t>
  </si>
  <si>
    <t xml:space="preserve">PUBLICIDAD Y MERCADEO </t>
  </si>
  <si>
    <t>andres.tellez@idt.gov.co</t>
  </si>
  <si>
    <t>GINNA PAOLA RODRIGUEZ CLAVIJO</t>
  </si>
  <si>
    <t xml:space="preserve"> PRESTAR SERVICIOS PROFESIONALES PARA BRINDAR ACOMPANAMIENTO EN EL SEGUIMIENTO A LA EJECUCION PRESUPUESTAL Y CUMPLIMIENTO DE OBJETIVO S A CARGO DE FONDETUR              </t>
  </si>
  <si>
    <t>ginna.rodriguez@idt.gov.co</t>
  </si>
  <si>
    <t>CARLOS ALBERTO CANDELA BELLO</t>
  </si>
  <si>
    <t xml:space="preserve"> PRESTAR SERVICIOS PROFESIONALES PARA EL DISEÃ‘O E IMPLEMENTACION DE LA ESTRATEGIA DE DIFUSION Y POSICIONAMIENTO DE LA MARCA CIUDAD C ON LOS DIVERSOS ACTORES DEL SECTOR TURISMO PARA LOGRAR UN MAYOR ALCANCE E IMPACTO DE ESTA HERRAMIENTA DE PROMOCION DE CIUDAD              </t>
  </si>
  <si>
    <t xml:space="preserve">FINANZAS Y RELACIONES INTERNACIONALES </t>
  </si>
  <si>
    <t>carlos.candela@idt.gov.co</t>
  </si>
  <si>
    <t xml:space="preserve">GERMÁN AUGUSTO GARCÍA PINZÓN </t>
  </si>
  <si>
    <t>PRESTAR LOS SERVICIOS PROFESIONALES PARA APOYAR A LA SUBDIRECCIÓN DE GESTIÓN DEL DESTINO, BRINDANDO SOPORTE EN LA FORMULACIÓN Y GESTIÓN DE PROYECTOS RELACIONADOS CON LOS EJES DE GOBERNANZA, INNOVACIÓN, TECNOLOGÍA Y SOSTENIBILIDAD ACORDE CON EL DESPLIEGUE DEL MODELO DE DESTINO TURÍSTICO INTELIGENTE, QUE IMPACTEN EN EL CUMPLIMIENTO DE METAS DEL PROYECTO DE FORTALECIMIENTO DEL SISTEMA TURÍSTICO DE BOGOTÁ</t>
  </si>
  <si>
    <t>PSICOLOGÍA</t>
  </si>
  <si>
    <t>germán.garcía@idt.gov.co</t>
  </si>
  <si>
    <t>PAULA ECHEVERRI MONTES</t>
  </si>
  <si>
    <t>PRESTAR LOS SERVICIOS PROFESIONALES PARA APOYAR LAS ACCIONES ENCAMINADAS AL FORTALECIMIENTO DE LA PLANIFICACIÓN Y PROSPECTIVA TERRITORIAL Y DE LA CIUDAD, QUE IMPACTEN EN EL CUMPLIMIENTO DEL PROYECTO DE FORTALECIMIENTO DEL SISTEMA TURÍSTICO DE BOGOTÁ.</t>
  </si>
  <si>
    <t>ARQUITECTURA / historic preservation</t>
  </si>
  <si>
    <t>paula.echeverri@idt.gov.co</t>
  </si>
  <si>
    <t>RUBY ASTRITH BONILLA HERNANDEZ</t>
  </si>
  <si>
    <t>PRESTAR SERVICIOS PROFESIONALES AL INSTITUTO DISTRITAL DE TURISMO PARA APOYAR LA GESTIÓN DEL FONDO DE DESARROLLO TURÍSTICO DE BOGOTÁ EN LO REFERENTE A FORMULACIÓN, SEGUIMIENTO Y EVALUACIÓN DE PROYECTOS Y CONVOCATORIAS</t>
  </si>
  <si>
    <t>ADMINISTRACIÓN HOTELERA Y TURÍSTICA / MAESTRÍA EN PLANIFICACIÓN Y GESTIÓN DE TURISMO</t>
  </si>
  <si>
    <t>FÚNEQUE</t>
  </si>
  <si>
    <t>ruby.bonilla@idt.gov.co</t>
  </si>
  <si>
    <t>LUIS ENRIQUE GÓMEZ LEÓN</t>
  </si>
  <si>
    <t>PRESTAR SERVICIOS AL INSTITUTO DISTRITAL DE TURISMO PARA APOYAR LA PRODUCCION AUDIOVISUAL Y GENERACION DE CONTENIDOS QUE PERMITA LA DIVULGACION DEL FONDETUR</t>
  </si>
  <si>
    <t>ESTUDIOS MUSICALES</t>
  </si>
  <si>
    <t>luis.gómez@idt.gov.co</t>
  </si>
  <si>
    <t>JHON JAIRO ACUÑA PEREZ</t>
  </si>
  <si>
    <t>PRESTAR SERVICIOS PROFESIONALES PARA APOYAR LAS ACCIONES ENCAMINADAS A FORTALECER LAS ESTRATEGIAS DE DESARROLLO EMPRESARIAL QUE IMPACTEN EN EL CUMPLIMIENTO DEL PROYECTO DE FORTALECIMIENTO DEL SISTEMA TURISTICO DE BOGOTA</t>
  </si>
  <si>
    <t>COMUNICACIÓN SOCIAL Y PERIODISMO</t>
  </si>
  <si>
    <t>Título Profesional / Desde 24 hasta 36 meses de experiencia profesional</t>
  </si>
  <si>
    <t>jhon.acuña@idt.gov.co</t>
  </si>
  <si>
    <t xml:space="preserve">IVAN MAURICIO DIAZ GUERRERO </t>
  </si>
  <si>
    <t>PRESTAR SERVICIOS DE APOYO A LA GESTIÓN PARA REALIZAR LAS ACTIVIDADES LOGÍSTICAS Y OPERATIVAS A CARGO DE LA SUBDIRECCIÓN DE GESTIÓN CORPORATIVA</t>
  </si>
  <si>
    <t>Título Bachiller - Desde  18 meses y hasta 36 meses de experiencia laboral</t>
  </si>
  <si>
    <t>ivan.diaz@idt.gov.co</t>
  </si>
  <si>
    <t>JULIAN DAVID RONCANCIO VERGARA</t>
  </si>
  <si>
    <t>PRESTAR LOS SERVICIOS DE APOYO ADMINISTRATIVO A LA GENERACION Y EJECUCION DE LOS PROYECTOS DE INFRAESTRUCTURA TURISTICA QUE IMPACTEN EN EL CUMPLIMIENTO DEL PROYECTO DE FORTALECIMIENTO DEL SISTEMA TURISTICO DE BOGOTA</t>
  </si>
  <si>
    <t>TECNOLOGIA EN GESTION BANCARIA Y DE ENTIDADES FINANCIERAS / ADMINISTRACIÓN DE EMPRESAS</t>
  </si>
  <si>
    <t>Título de Formación técnico o tecnólogo, o terminación y aprobación de materias que conforman el pensum académico Desde 12 meses hasta 48 meses de experiencia laboral</t>
  </si>
  <si>
    <t>julian.roncancio@idt.gov.co</t>
  </si>
  <si>
    <t>LORENA TATIANA MORENO SUÁREZ</t>
  </si>
  <si>
    <t>PRESTAR LOS SERVICIOS PROFESIONALES PARA APOYAR LAS ACCIONES ENCAMINADAS A FORTALECER ESTRATEGIAS DE DESARROLLO EMPRESARIAL CON ÉNFASIS EN LA FORMALIZACIÓN Y LA REACTIVACIÓN ECONÓMICA, QUE IMPACTEN EN EL CUMPLIMIENTO DEL PROYECTO DE FORTALECIMIENTO DEL SISTEMA TURÍSTICO DE BOGOTÁ</t>
  </si>
  <si>
    <t>TURISMO / ESPECIALIZACIÓN EN RESPONSABILIDAD EMPRESARIAL PÚBLICA Y PRIVADA</t>
  </si>
  <si>
    <t>lorena.moreno@idt.gov.co</t>
  </si>
  <si>
    <t>LORENA HERNANDEZ DAJER</t>
  </si>
  <si>
    <t>PRESTAR SERVICIOS DE APOYO A LA GESTIÓN PARA REALIZAR RECOLECCIÓN Y SINCRONIZACIÓN DE INFORMACIÓN DE LAS OPERACIONES ESTADÍSTICAS Y NO ESTADÍSTICAS ASIGNADAS</t>
  </si>
  <si>
    <t>FISIOTERAPIA</t>
  </si>
  <si>
    <t>lorena.hernandez@idt.gov.co</t>
  </si>
  <si>
    <t xml:space="preserve">WEIMAR LARRY ROJAS GAMBA </t>
  </si>
  <si>
    <t>PRESTAR SERVICIOS PROFESIONALES PARA EFECTUAR LA ACTUALIZACIÓN Y SEGUIMIENTO DE LOS INSTRUMENTOS ARCHIVÍSTICOS Y DEMÁS ASUNTOS PROPIOS DE LA GESTIÓN DOCUMENTAL DEL INSTITUTO DISTRITAL DE TURISMO.</t>
  </si>
  <si>
    <t>CIENCIAS DE LA INFORMACION Y LA DOCUMENTACION / ESPECIALIZACION EN ARCHIVISTICA</t>
  </si>
  <si>
    <t>weimar.rojas@idt.gov.co</t>
  </si>
  <si>
    <t>FREIMAN ANTONIO MARTIN ROA</t>
  </si>
  <si>
    <t>PRESTAR SERVICIOS DE APOYO A LA GESTIÓN PARA REALIZAR ACCIONES DE INFORMACIÓN TURÍSTICA A RESIDENTES, TURISTAS NACIONALES Y EXTRANJEROS EN EL MARCO DE LA ESTRATEGIA DE PROMOCIÓN Y MERCADEO DE LA ACTIVIDAD TURÍSTICA DE BOGOTÁ</t>
  </si>
  <si>
    <t>SOACHA</t>
  </si>
  <si>
    <t>freiman.martin@idt.gov.co</t>
  </si>
  <si>
    <t xml:space="preserve">ALBERTO JOSE GARCIA GUALDRON </t>
  </si>
  <si>
    <t>PRESTAR SERVICIOS PROFESIONALES PARA LA PUESTA EN MARCHA Y EL DESARROLLO DE LAS INICIATIVAS QUE SE ADELANTEN DESDE EL PROCESO DE TALENTO HUMANO DE LA SUBDIRECCIÓN DE GESTIÓN CORPORATIVA.</t>
  </si>
  <si>
    <t>BUCARAMANGA</t>
  </si>
  <si>
    <t>alberto.garcia@idt.gov.co</t>
  </si>
  <si>
    <t xml:space="preserve">RUBEN ANTONIO PAZ CASTILLO </t>
  </si>
  <si>
    <t>ruben.paz@idt.gov.co</t>
  </si>
  <si>
    <t>ESTEPHANNI CASTAÑEDA ARCILA</t>
  </si>
  <si>
    <t>PRESTAR SERVICIOS DE APOYO EN LA ELABORACIÓN DE CONTENIDOS ESCRITOS PARA LAS DIFERENTES PLATAFORMAS DE PROMOCIÓN Y MERCADEO DE BOGOTÁ COMO DESTINO TURÍSTICO</t>
  </si>
  <si>
    <t>TECNICO PROFESIONAL EN SISTEMAS INFORMATICOS / COMUNICACION SOCIAL- PERIODISMO</t>
  </si>
  <si>
    <t>estephanni.castañeda@idt.gov.co</t>
  </si>
  <si>
    <t>SANTIAGO AVILES HUERTAS</t>
  </si>
  <si>
    <t>PRESTAR AL INSTITUTO DISTRITAL DE TURISMO SERVICIOS PROFESIONALES PARA APOYAR LA GESTIÓN FINANCIERA Y CONTABLE QUE SE DESPRENDA DE LA EJECUCIÓN DE PROYECTOS Y CONVOCATORIAS DEL FONDETUR</t>
  </si>
  <si>
    <t xml:space="preserve">FINANZAS V NEGOCIOS INTERNACIONALES </t>
  </si>
  <si>
    <t>santiago.aviles@idt.gov.co</t>
  </si>
  <si>
    <t>NESTOR AUGUSTO GOYES ORTEGA</t>
  </si>
  <si>
    <t>PRESTAR SERVICIOS PROFESIONALES PARA EL DESARROLLO WEB, ADMINISTRACIÓN DE CONTENIDOS DIGITALES Y SOPORTE TÉCNICO DEL PORTAL ÚNICO DE PROMOCIÓN DE LA OFERTA TURÍSTICA DE BOGOTÁ</t>
  </si>
  <si>
    <t>INGENIERÍA EN MULTIMEDIA</t>
  </si>
  <si>
    <t>TOLIMA</t>
  </si>
  <si>
    <t>IBAGUÉ</t>
  </si>
  <si>
    <t>nestor.goyes@idt.gov.co</t>
  </si>
  <si>
    <t>JORGE ADELMO MORENO LEON</t>
  </si>
  <si>
    <t>PRESTAR SERVICIOS PROFESIONALES PARA APOYAR EN LA IMPLEMENTACIÓN, SOSTENIBILIDAD, ACTUALIZACIÓN Y SEGUIMIENTO DE LOS PROCESOS Y PROCEDIMIENTOS DE LAS DIMENSIONES QUE COMPETAN.</t>
  </si>
  <si>
    <t>ADMINISTRACIÓN DE EMPRESAS / ESPECIALIZACIÓN EN EDUCACIÓN Y GESTIÓN AMBIENTAL</t>
  </si>
  <si>
    <t>CHIPAQUE</t>
  </si>
  <si>
    <t>jorge.moreno@idt.gov.co</t>
  </si>
  <si>
    <t>RENZO RODRIGUEZ</t>
  </si>
  <si>
    <t>PRESTAR SERVICIOS PROFESIONALES PARA LA GESTIÓN ADMINISTRATIVA DE LA RED DE INFORMACIÓN TURÍSTICA DE BOGOTÁ EN EL MARCO DE LA ESTRATEGIA DE PROMOCIÓN Y MERCADEO.</t>
  </si>
  <si>
    <t>MERCADEO Y PUBLICIDAD</t>
  </si>
  <si>
    <t>renzo.renzo@idt.gov.co</t>
  </si>
  <si>
    <t>RICARDO RAMON VELANDIA CRUZ</t>
  </si>
  <si>
    <t>PRESTAR SERVICIOS DE APOYO A LA GESTIÓN PARA EL DESARROLLO DE ACTIVIDADES OPERATIVAS Y DE GESTIÓN DOCUMENTAL EN EL MARCO DE LA ESTRATEGIA DE PROMOCIÓN Y MERCADEO ORIENTADO A LA RECUPERACIÓN DE LA ACTIVIDAD TURÍSTICA DE BOGOTÁ.</t>
  </si>
  <si>
    <t>ADMINISTRACIÓN HOTELERA Y TURÍSTICA</t>
  </si>
  <si>
    <t>ricardo.velandia@idt.gov.co</t>
  </si>
  <si>
    <t>JOHN ALEXANDER RAMOS CALDERÓN</t>
  </si>
  <si>
    <t>PRESTAR LOS SERVICIOS PROFESIONALES AL INSTITUTO DISTRITAL DE TURISMO IDT PARA LIDERAR Y ARTICULAR EL FONDO DE DESARROLLO DE TURISMO DE BOGOTÁ FONDETUR.</t>
  </si>
  <si>
    <t>ADMINISTRACION TURISTICA Y HOTELERA / Magister Oficial en Dirección y Planificación del Turismo / TECNOLOGÍA EN GUIANZA TURÍSTICA</t>
  </si>
  <si>
    <t>Título Profesional y Título de Postgrado en la modalidad de especialización o mestría relacionadas con el objeto del contrato - Más de 81 meses de experiencia profesional.</t>
  </si>
  <si>
    <t>john.ramos@idt.gov.co</t>
  </si>
  <si>
    <t>DUBERNEY OCHICA SOLER</t>
  </si>
  <si>
    <t>PRESTAR SERVICIOS PROFESIONALES PARA APOYAR LA ELABORACIÓN DEL DISEÑO Y DESARROLLO CONCEPTUAL DE LA INFORMACIÓN QUE SE PRODUCE EN EL ÁREA, DE ACUERDO CON LOS REQUERIMIENTOS TÉCNICOS, PROCESOS Y PROCEDIMIENTOS ESTABLECIDOS EN LA ENTIDAD</t>
  </si>
  <si>
    <t>PUBLICIDAD / ESPECIALIZACIÓN EN GERENCIA DE DISEÑO</t>
  </si>
  <si>
    <t>duberney.ochica@idt.gov.co</t>
  </si>
  <si>
    <t>ANGELA PATRICIA CLAVIJO LONDOÑO</t>
  </si>
  <si>
    <t>PRESTAR SERVICIOS AL INSTITUTO DISTRITAL DE TURISMO PARA APOYAR LA GESTIÓN, EVALUACIÓN Y SEGUIMIENTO ADMINISTRATIVO QUE SE DESPRENDA DE LA EJECUCIÓN DE PROYECTOS Y CONVOCATORIAS DEL FONDETUR</t>
  </si>
  <si>
    <t>angela.clavijo@idt.gov.co</t>
  </si>
  <si>
    <t>JUAN SEBASTIÁN OSPINA BARRETO</t>
  </si>
  <si>
    <t>ADMINISTRACIÓN TURISTICA Y HOTELERA</t>
  </si>
  <si>
    <t>juan.ospina@idt.gov.co</t>
  </si>
  <si>
    <t>ESTEBAN VARGAS LONDOÑO</t>
  </si>
  <si>
    <t>PRESTAR SERVICIOS PROFESIONALES EN DERECHO AL INSTITUTO DISTRITAL DE TURISMO, PARA APOYAR LA GESTIÓN JURÍDICA DEL FONDO DE DESARROLLO TURISTICO DE BOGOTÁ</t>
  </si>
  <si>
    <t xml:space="preserve">DERECHO / ESPECIALIZACION EN DERECHO ADMINISTRATIVO </t>
  </si>
  <si>
    <t>esteban.vargas@idt.gov.co</t>
  </si>
  <si>
    <t xml:space="preserve">WILSON ALBERTO MARTIN BARRETO </t>
  </si>
  <si>
    <t>PRESTAR LOS SERVICIOS PROFESIONALES AL INSTITUTO DISTRITAL DE TURISMO PARA APOYAR LA GESTIÓN FINANCIERA Y CONTRACTUAL DEL FONDO DE DESARROLLO TURÍSTICO DE BOGOTÁ</t>
  </si>
  <si>
    <t>CONTADURÍA PÚBLICA</t>
  </si>
  <si>
    <t>wilson.martin@idt.gov.co</t>
  </si>
  <si>
    <t>ANDRÉS SEBASTIÁN CASTILLO DÁVILA</t>
  </si>
  <si>
    <t xml:space="preserve">TECNOLOGiA EN GESTION ADMINISTRATIVA </t>
  </si>
  <si>
    <t>andrés.castillo@idt.gov.co</t>
  </si>
  <si>
    <t>JUBER ALEXANDER URIZA GARZON</t>
  </si>
  <si>
    <t>PRESTAR SERVICIOS PROFESIONALES PARA GENERACIÓN DE CONTENIDOS ESCRITOS PARA LOS DIFERENTES CANALES DE DIVULGACIÓN, PIEZAS PROMOCIONALES Y HERRAMIENTAS PARA LA PROMOCIÓN Y MERCADEO DE BOGOTÁ COMO DESTINO TURÍSTICO</t>
  </si>
  <si>
    <t>COMUNICACIÓN SOCIAL PERIODISMO / ESPECIALIZACIÓN EN COMUNICACIÓN ESTRATEGICA</t>
  </si>
  <si>
    <t>juber.uriza@idt.gov.co</t>
  </si>
  <si>
    <t>MARIA DANIELA AREVALO DUARTE</t>
  </si>
  <si>
    <t>PRESTAR SERVICIOS PROFESIONALES AL INSTITUTO DISTRITAL DE TURISMO PARA APOYAR ESTRATEGIAS DE COMUNICACIÓN Y DIVULGACIÓN QUE SE DESPRENDAN DE LA EJECUCIÓN DE PROYECTOS Y CONVOCATORIAS DEL FONDETUR</t>
  </si>
  <si>
    <t>COMUNICACION SOCIAL- PERIODISMO / ESPECIALIZACIÓN EN COMUNICACIÓN ESTRATÉGICA</t>
  </si>
  <si>
    <t>maria.arevalo@idt.gov.co</t>
  </si>
  <si>
    <t>DANIEL EDUARDO RUIZ VERA</t>
  </si>
  <si>
    <t>PRESTAR SERVICIOS DE FOTOGRAFÍA PARA CUBRIMIENTO Y REGISTRO DE EVENTOS Y ACTIVIDADES INSTITUCIONALES, ASÍ COMO GENERAR MATERIAL AUDIOVISUAL Y FOTOGRÁFICO DE LA CIUDAD QUE PERMITA MEJORAR EL BANCO DE IMÁGENES DE LA ENTIDAD USADO PARA LOS DIFERENTES FINES DE COMUNICACIÓN INSTITUCIONAL.</t>
  </si>
  <si>
    <t>TECNOLOGIA EN COMUNICACION GRAFICA / TECNOLOGÍA EN PRODUCCIÓN DIGITAL EN MEDIOS AUDIOVISUALES</t>
  </si>
  <si>
    <t>daniel.ruiz@idt.gov.co</t>
  </si>
  <si>
    <t xml:space="preserve">LAURA CAMILA CHAVES CHAVES </t>
  </si>
  <si>
    <t>laura.chaves@idt.gov.co</t>
  </si>
  <si>
    <t>DIEGO ANDRES ALVAREZ PIÑEROS</t>
  </si>
  <si>
    <t>PRESTAR SERVICIOS PROFESIONALES PARA APOYAR LAS ACTIVIDADES DE POSICIONAMIENTO ORGÁNICO Y PUBLICIDAD DIGITAL PARA LA IMPLEMENTACION Y DEL PORTAL ÚNICO DE PROMOCIÓN DE LA OFERTA TURÍSTICA DE BOGOTÁ</t>
  </si>
  <si>
    <t>PUBLICIDAD</t>
  </si>
  <si>
    <t>diego.alvarez@idt.gov.co</t>
  </si>
  <si>
    <t xml:space="preserve">JEIMMY JOHANNA RIOS GONZALEZ </t>
  </si>
  <si>
    <t>PRESTAR SERVICIOS AL INSTITUTO DISTRITAL DE TURISMO PARA APOYAR LA GESTIÓN JURÍDICA DEL FONDO DE DESARROLLO TURÍSTICO DE BOGOTÁ</t>
  </si>
  <si>
    <t>jeimmy.rios@idt.gov.co</t>
  </si>
  <si>
    <t>LAURA ESTEFANÍA ORDOÑEZ MORA</t>
  </si>
  <si>
    <t>PRESTAR SERVICIOS DE APOYO A LA GESTIÓN PARA REALIZAR ACCIONES DE INFORMACIÓN TURISTICA A RESIDENTES, TURISTAS NACIONALES Y EXTRANJEROS EN EL MARCO DE LA ESTRATEGIA DE PROMOCIÓN Y MERCADEO DE LA ACTIVIDAD TURISTICA DE BOGOTA</t>
  </si>
  <si>
    <t>laura.ordoñez@idt.gov.co</t>
  </si>
  <si>
    <t>RUTH DIANA SIERRA RODRIGUEZ</t>
  </si>
  <si>
    <t>ruth.sierra@idt.gov.co</t>
  </si>
  <si>
    <t xml:space="preserve"> ELIECER DURÁN MANTILLA </t>
  </si>
  <si>
    <t>PRESTAR SERVICIOS DE INTERPRETACIÓN DE LENGUA DE SEÑAS COLOMBIANA QUE GARANTICEN CONTENIDOS ACCESIBLES MEDIANTE LA COMUNICACIÓN INCLUYENTE, QUE IMPACTE EN EL CUMPLIMIENTO DEL PROYECTO DE FORTALECIMIENTO DEL SISTEMA TURÍSTICO DE BOGOTÁ.</t>
  </si>
  <si>
    <t>TECNOLOGIA EN GESTIÓN EMPRESARIAL</t>
  </si>
  <si>
    <t>eliecer.durán@idt.gov.co</t>
  </si>
  <si>
    <t>YEISON SUAREZ</t>
  </si>
  <si>
    <t>PRESTAR SERVICIOS DE APOYO A LA GESTIÓN PARA REALIZAR RECOLECCIÓN Y SINCRONIZACIÓN DE INFORMACIÓN DE LAS OPERACIONES ESTADÍSTICAS Y NO ESTADÍSTICAS ASIGNADAS.</t>
  </si>
  <si>
    <t>yeison.yeison@idt.gov.co</t>
  </si>
  <si>
    <t>GENOVEVA POMBO</t>
  </si>
  <si>
    <t>PRESTAR SERVICIOS PROFESIONALES PARA REALIZAR ACCIONES DE MERCADEO Y MANEJO DE CANALES DE DISTRIBUCIÓN PARA EL SEGMENTO DE TURISMO DE REUNIONES EN EL MARCO DE LA ESTRATEGIA DE PROMOCIÓN Y MERCADEO</t>
  </si>
  <si>
    <t>Título Superior en marketing y gestión comercial</t>
  </si>
  <si>
    <t>genoveva.genoveva@idt.gov.co</t>
  </si>
  <si>
    <t xml:space="preserve">CARLOS DAVID MORENO CASTIBLANCO </t>
  </si>
  <si>
    <t>PRESTAR LOS SERVICIOS DE APOYO PARA ARROLLAR ACTIVIDADES PROPIAS DE LA GESTIÓN DE PAGO RELACIONADAS CON F0NDETUR</t>
  </si>
  <si>
    <t>TECNOLOGÍA EN CONTABILIDAD Y FINANZAS</t>
  </si>
  <si>
    <t>carlos.moreno@idt.gov.co</t>
  </si>
  <si>
    <t>NORMA CAROLINA AQUITE LIMA</t>
  </si>
  <si>
    <t>PRESTAR SERVICIOS PROFESIONALES PARA APOYAR LA ARTICULACION DE LA ESTRATEGIA DE COOPERACION INTERNACIONAL DEL IDT.</t>
  </si>
  <si>
    <t>CIENCIA POLITICA / MAESTRÍA EN GERENCIA Y PRÁCTICA DEL DESARROLLO</t>
  </si>
  <si>
    <t>norma.aquite@idt.gov.co</t>
  </si>
  <si>
    <t>JORGE ENRIQUE MORENO MUÑOZ</t>
  </si>
  <si>
    <t>PRESTAR SERVICIOS PROFESIONALES PARA APOYAR ALIANZAS INTERINSTITUCIONALES Y CON EL SECTOR PUBLICO PRIVADO Y DE COOPERACIÓN INTERNACIONAL PARA LA GESTION DE RECURSOS ORIENTADOS A LA RECUPERACION DE LA ACTIVIDAD TURISTICA DE LA CIUDAD DE BOGOTA</t>
  </si>
  <si>
    <t>Título Profesional y Título de Postgrado en la modalidad de especialización o mestría relacionadas con el objeto del contrato / Desde 48 meses hasta 60 meses de experiencia
profesional.</t>
  </si>
  <si>
    <t>LUISA NARANJO</t>
  </si>
  <si>
    <t>PRESTAR SERVICIOS PROFESIONALES PARA LA CONCEPTUALIZACIÓN Y PRODUCCIÓN DE VÍDEOS, FOTOGRAFÍAS Y DEMÁS MATERIAL DE AUDIO Y VIDEO PARA LA DIVULGACIÓN DEL PROYECTO FORTALECIMIENTO DEL PRODUCTO TURÍSTICO RUTA LEYENDA DE EL DORADO QUE INTEGRA ATRACTIVOS TURÍSTICOS DE BOGOTÁ, BOYACÁ, CUNDINAMARCA.</t>
  </si>
  <si>
    <t>luisa.luisa@idt.gov.co</t>
  </si>
  <si>
    <t xml:space="preserve">MARIA DEL PILAR TORRES GOMEZ </t>
  </si>
  <si>
    <t>PRESTAR LOS SERVICIOS PROFESIONALES A LA SUBDIRECCIÓN DE GESTIÓN DE DESTINO, PARA APOYAR LOS ENLACES DE ORDEN REGIONAL Y FORTALECIMIENTO DE ÍNDOLE PROMOCIONAL DE LOS PRODUCTOS PRIORIZADOS DURANTE LA PRESENTE VIGENCIA, Y SEGÚN LOS LINEAMIENTOS ESTABLECIDOS EN EL SISTEMA INTEGRADO DE GESTIÓN DEL EQUIPO DE PRODUCTO TURÍSTICO</t>
  </si>
  <si>
    <t>TECNICA PROFESIONAL EN ADMINISTRACIÓN DE EMPRESAS / ADMINISTRACIÓN HOTELERA Y TURÍSTICA / TECNOLÓGIA EN ADMINISTRACIÓN HOTELERA / MAESTRÍA EN GERENCIA ESTRATÉGICA DE MERCADEO</t>
  </si>
  <si>
    <t>maria.torres@idt.gov.co</t>
  </si>
  <si>
    <t xml:space="preserve">LINA MARIA DUARTE HERNANDEZ </t>
  </si>
  <si>
    <t>PRESTAR LOS SERVICIOS PROFESIONALES EN LA GESTIÓN DE LOS PROCESOS DE GOBERNANZA DE LOS PROGRAMAS QUE PROPENDAN POR EL DESARROLLO Y PROMOCIÓN DEL TURISMO EN LAS LOCALIDADES DEL DISTRITO CAPITAL, QUE IMPACTEN EN EL CUMPLIMIENTO DEL PROYECTO DE FORTALECIMIENTO DEL SISTEMA TURÍSTICO DE BOGOTÁ</t>
  </si>
  <si>
    <t>ADMINISTRACION TURISTICA Y HOTELERA</t>
  </si>
  <si>
    <t>lina.duarte@idt.gov.co</t>
  </si>
  <si>
    <t>SANTIAGO MARTÍNEZ VALENCIA</t>
  </si>
  <si>
    <t>PRESTAR SERVICIOS PROFESIONALES PARA APOYAR EN LA EJECUCIÓN Y SEGUIMIENTO DE LOS PROGRAMAS QUE PROPENDAN POR EL DESARROLLO Y PROMOCIÓN DEL TURISMO EN LAS DIFERENTES LOCALIDADES DEL DISTRITO CAPITAL, QUE IMPACTEN EN EL CUMPLIMIENTO DEL PROYECTO DE FORTALECIMIENTO DEL SISTEMA TURÍSTICO DE BOGOTÁ.</t>
  </si>
  <si>
    <t>ADMINISTRACIÓN DE EMPRESAS TURÍSTICAS Y HOTELERAS</t>
  </si>
  <si>
    <t>santiago.martínez@idt.gov.co</t>
  </si>
  <si>
    <t xml:space="preserve">WILSON LEONARDO SANTAMARIA ARIZA </t>
  </si>
  <si>
    <t>wilson.santamaria@idt.gov.co</t>
  </si>
  <si>
    <t>ANDRES FELIPE TELLEZ MONTAÑEZ</t>
  </si>
  <si>
    <t>PRESTAR SERVICIOS PROFESIONALES PARA EL MANTENIMIENTO, SOPORTE, DESARROLLO Y ACTUALIZACIÓN DE LAS APLICACIONES, PORTALES, PÁGINAS WEB Y DEMÁS SITIOS VIRTUALES PARA PROMOVER A BOGOTÁ COMO DESTINO TURÍSTICO.</t>
  </si>
  <si>
    <t>INGENIERIA EN MULTIMEDIA</t>
  </si>
  <si>
    <t>OSCAR YAIR SUÁREZ SALAZAR</t>
  </si>
  <si>
    <t>PRESTAR SERVICIOS TÉCNICOS PARA LA PRODUCCIÓN DE VIDEOS FOTOGRAFÍAS Y DEMÁS MATERIAL AUDIOVISUAL Y FOTOGRÁFICO, OPERACIÓN DE EQUIPOS FOTOGRÁFICOS Y DE FILMACIÓN PARA LA DIVULGACIÓN DEL PROYECTO FORTALECIMIENTO DEL PRODUCTO TURÍSTICO RUTA LEYENDA DE EL DORADO QUE INTEGRA ATRACTIVOS TURÍSTICOS DE BOGOTÁ, BOYACÁ, CUNDINAMARCA</t>
  </si>
  <si>
    <t>oscar.suárez@idt.gov.co</t>
  </si>
  <si>
    <t xml:space="preserve">RAFAEL STEPHEN AHUMADA RUIZ </t>
  </si>
  <si>
    <t>PRESTAR SERVICIOS PROFESIONALES PARA EL DISEÑO, GESTIÓN Y PUESTA EN MARCHA DE LA ESTRATEGIA DE TURISMO GASTRONÓMICO QUE PERMITA POSICIONAR A BOGOTÁ REGIÓN COMO DESTINO LÍDER EN GASTRONOMÍA, QUE IMPACTEN EN EL CUMPLIMIENTO DEL PROYECTO DE FORTALECIMIENTO DEL SISTEMA TURÍSTICO</t>
  </si>
  <si>
    <t>rafael.ahumada@idt.gov.co</t>
  </si>
  <si>
    <t>DIANA PARRA</t>
  </si>
  <si>
    <t>PRESTAR SERVICIOS PROFESIONALES PARA APOYAR LOS PROCESOS ADMINISTRATIVOS, LOGÍSTICOS Y OPERATIVOS QUE SE DESPRENDAN DE LA EJECUCIÓN DE PROYECTOS Y CONVOCATORIAS DEL FONDETUR</t>
  </si>
  <si>
    <t>diana.diana@idt.gov.co</t>
  </si>
  <si>
    <t>CRISTIAN CAMILO PARRA LÓPEZ</t>
  </si>
  <si>
    <t>PRESTAR SERVICIOS DE APOYO GENERAL PARA LA PRODUCCIÓN DE CONTENIDOS DE MATERIAL AUDIOVISUAL Y FOTOGRÁFICO PARA LA DIVULGACIÓN DEL PROYECTO FORTALECIMIENTO DEL PRODUCTO TURÍSTICO RUTA LEYENDA DE EL DORADO QUE INTEGRA ATRACTIVOS TURÍSTICOS DE BOGOTÁ, BOYACÁ,</t>
  </si>
  <si>
    <t>PROFESIONAL EN MEDIOS AUDIOVISUALES</t>
  </si>
  <si>
    <t>cristian.parra@idt.gov.co</t>
  </si>
  <si>
    <t>NORBEY HUMBERTO RUIZ DIAZ</t>
  </si>
  <si>
    <t>PRESTAR SERVICIOS PROFESIONALES PARA APOYAR A LA ASESORÍA DE CONTROL INTERNO EN LAS DIFERENTES ACTIVIDADES PROGRAMADAS DENTRO DEL PLAN ANUAL DE AUDITORÍAS</t>
  </si>
  <si>
    <t>norbey.ruiz@idt.gov.co</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</si>
</sst>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_€_-;\-* #,##0.00\ _€_-;_-* &quot;-&quot;??\ _€_-;_-@_-"/>
    <numFmt numFmtId="179" formatCode="_(&quot;$&quot;* #,##0.00_);_(&quot;$&quot;* \(#,##0.00\);_(&quot;$&quot;* &quot;-&quot;??_);_(@_)"/>
    <numFmt numFmtId="180" formatCode="&quot;₡&quot;#,##0_);[Red]\(&quot;₡&quot;#,##0\)"/>
    <numFmt numFmtId="181" formatCode="&quot;$&quot;\ #,##0;&quot;$&quot;\ \-#,##0"/>
    <numFmt numFmtId="182" formatCode="_ &quot;$&quot;\ * #,##0_ ;_ &quot;$&quot;\ * \-#,##0_ ;_ &quot;$&quot;\ * &quot;-&quot;_ ;_ @_ "/>
    <numFmt numFmtId="183" formatCode="_ * #,##0_ ;_ * \-#,##0_ ;_ * &quot;-&quot;_ ;_ @_ "/>
    <numFmt numFmtId="184" formatCode="_ &quot;$&quot;\ * #,##0.00_ ;_ &quot;$&quot;\ * \-#,##0.00_ ;_ &quot;$&quot;\ * &quot;-&quot;??_ ;_ @_ "/>
    <numFmt numFmtId="185" formatCode="#,##0.00&quot;       &quot;;\-#,##0.00&quot;       &quot;;&quot; -&quot;#&quot;       &quot;;@\ "/>
    <numFmt numFmtId="186" formatCode="#,##0.000"/>
    <numFmt numFmtId="187" formatCode="#,###"/>
    <numFmt numFmtId="188" formatCode="#,###.00"/>
    <numFmt numFmtId="189" formatCode="#,##0&quot;       &quot;;\-#,##0&quot;       &quot;;&quot; -&quot;#&quot;       &quot;;@\ "/>
    <numFmt numFmtId="190" formatCode="_ [$€]\ * #,##0.00_ ;_ [$€]\ * \-#,##0.00_ ;_ [$€]\ * &quot;-&quot;??_ ;_ @_ "/>
    <numFmt numFmtId="191" formatCode="#,##0;[Red]\(#,##0\)"/>
    <numFmt numFmtId="192" formatCode="_-* #,##0.00\ _P_t_s_-;\-* #,##0.00\ _P_t_s_-;_-* &quot;-&quot;??\ _P_t_s_-;_-@_-"/>
    <numFmt numFmtId="193" formatCode="_ &quot;$&quot;\ * #,##0_ ;_ &quot;$&quot;\ * \-#,##0_ ;_ &quot;$&quot;\ * &quot;-&quot;??_ ;_ @_ "/>
    <numFmt numFmtId="194" formatCode="_ * #,##0_ ;_ * \-#,##0_ ;_ * &quot;-&quot;??_ ;_ @_ "/>
    <numFmt numFmtId="195" formatCode="_(* #,##0_);_(* \(#,##0\);_(* &quot;-&quot;??_);_(@_)"/>
    <numFmt numFmtId="196" formatCode="_(&quot;$&quot;* #,##0_);_(&quot;$&quot;* \(#,##0\);_(&quot;$&quot;* &quot;-&quot;??_);_(@_)"/>
    <numFmt numFmtId="197" formatCode="0.0000000%"/>
    <numFmt numFmtId="198" formatCode="00000000000"/>
    <numFmt numFmtId="199" formatCode="_-* #,##0.00\ _p_t_a_-;\-* #,##0.00\ _p_t_a_-;_-* &quot;-&quot;??\ _p_t_a_-;_-@_-"/>
    <numFmt numFmtId="200" formatCode="_ [$€]* #,##0.00_ ;_ [$€]* \-#,##0.00_ ;_ [$€]* \-??_ ;_ @_ "/>
    <numFmt numFmtId="201" formatCode="#,##0\ &quot;Pts&quot;;\-#,##0\ &quot;Pts&quot;"/>
    <numFmt numFmtId="202" formatCode="dd/mm/yyyy;@"/>
    <numFmt numFmtId="203" formatCode="000"/>
    <numFmt numFmtId="204" formatCode="[$-240A]dddd\,\ d\ &quot;de&quot;\ mmmm\ &quot;de&quot;\ yyyy"/>
    <numFmt numFmtId="205" formatCode="[$-240A]h:mm:ss\ AM/PM"/>
  </numFmts>
  <fonts count="104">
    <font>
      <sz val="10"/>
      <name val="Arial"/>
      <family val="2"/>
    </font>
    <font>
      <sz val="10"/>
      <name val="Verdana"/>
      <family val="2"/>
    </font>
    <font>
      <b/>
      <sz val="8"/>
      <color indexed="8"/>
      <name val="Times New Roman"/>
      <family val="1"/>
    </font>
    <font>
      <sz val="8"/>
      <color indexed="8"/>
      <name val="Times New Roman"/>
      <family val="1"/>
    </font>
    <font>
      <b/>
      <sz val="10"/>
      <name val="Verdana"/>
      <family val="2"/>
    </font>
    <font>
      <sz val="8"/>
      <name val="Arial"/>
      <family val="2"/>
    </font>
    <font>
      <u val="single"/>
      <sz val="10"/>
      <color indexed="12"/>
      <name val="Arial"/>
      <family val="2"/>
    </font>
    <font>
      <u val="single"/>
      <sz val="10"/>
      <color indexed="36"/>
      <name val="Arial"/>
      <family val="2"/>
    </font>
    <font>
      <b/>
      <sz val="13"/>
      <name val="Verdana"/>
      <family val="2"/>
    </font>
    <font>
      <sz val="13"/>
      <name val="Verdana"/>
      <family val="2"/>
    </font>
    <font>
      <b/>
      <sz val="9"/>
      <name val="Verdana"/>
      <family val="2"/>
    </font>
    <font>
      <sz val="6"/>
      <name val="Verdana"/>
      <family val="2"/>
    </font>
    <font>
      <b/>
      <sz val="8"/>
      <name val="Verdana"/>
      <family val="2"/>
    </font>
    <font>
      <b/>
      <sz val="15"/>
      <name val="Verdana"/>
      <family val="2"/>
    </font>
    <font>
      <b/>
      <sz val="9"/>
      <color indexed="12"/>
      <name val="Verdana"/>
      <family val="2"/>
    </font>
    <font>
      <sz val="10"/>
      <color indexed="12"/>
      <name val="Verdana"/>
      <family val="2"/>
    </font>
    <font>
      <sz val="9"/>
      <color indexed="12"/>
      <name val="Verdana"/>
      <family val="2"/>
    </font>
    <font>
      <sz val="6"/>
      <color indexed="12"/>
      <name val="Verdana"/>
      <family val="2"/>
    </font>
    <font>
      <b/>
      <sz val="10"/>
      <color indexed="12"/>
      <name val="Verdana"/>
      <family val="2"/>
    </font>
    <font>
      <b/>
      <sz val="12"/>
      <color indexed="12"/>
      <name val="Verdana"/>
      <family val="2"/>
    </font>
    <font>
      <sz val="16"/>
      <name val="Arial Black"/>
      <family val="2"/>
    </font>
    <font>
      <b/>
      <sz val="12"/>
      <name val="Arial"/>
      <family val="2"/>
    </font>
    <font>
      <b/>
      <sz val="11"/>
      <name val="Arial"/>
      <family val="2"/>
    </font>
    <font>
      <sz val="12"/>
      <name val="Arial Black"/>
      <family val="2"/>
    </font>
    <font>
      <sz val="14"/>
      <name val="Arial"/>
      <family val="2"/>
    </font>
    <font>
      <sz val="8"/>
      <name val="Tahoma"/>
      <family val="2"/>
    </font>
    <font>
      <b/>
      <sz val="8"/>
      <name val="Tahoma"/>
      <family val="2"/>
    </font>
    <font>
      <b/>
      <sz val="10"/>
      <name val="Arial"/>
      <family val="2"/>
    </font>
    <font>
      <sz val="12"/>
      <name val="Arial"/>
      <family val="2"/>
    </font>
    <font>
      <sz val="9"/>
      <color indexed="10"/>
      <name val="Verdana"/>
      <family val="2"/>
    </font>
    <font>
      <b/>
      <sz val="8"/>
      <color indexed="12"/>
      <name val="Verdana"/>
      <family val="2"/>
    </font>
    <font>
      <sz val="10"/>
      <color indexed="10"/>
      <name val="Verdana"/>
      <family val="2"/>
    </font>
    <font>
      <b/>
      <sz val="14"/>
      <color indexed="12"/>
      <name val="Verdana"/>
      <family val="2"/>
    </font>
    <font>
      <sz val="11"/>
      <color indexed="8"/>
      <name val="Calibri"/>
      <family val="2"/>
    </font>
    <font>
      <sz val="15.6"/>
      <name val="Arial"/>
      <family val="2"/>
    </font>
    <font>
      <b/>
      <i/>
      <sz val="8"/>
      <name val="Arial"/>
      <family val="2"/>
    </font>
    <font>
      <sz val="6"/>
      <name val="Arial"/>
      <family val="2"/>
    </font>
    <font>
      <sz val="28"/>
      <name val="Arial"/>
      <family val="2"/>
    </font>
    <font>
      <b/>
      <sz val="16"/>
      <name val="Arial"/>
      <family val="2"/>
    </font>
    <font>
      <b/>
      <sz val="10"/>
      <color indexed="52"/>
      <name val="Arial"/>
      <family val="2"/>
    </font>
    <font>
      <b/>
      <sz val="8"/>
      <name val="Arial"/>
      <family val="2"/>
    </font>
    <font>
      <u val="single"/>
      <sz val="10"/>
      <name val="Arial"/>
      <family val="2"/>
    </font>
    <font>
      <b/>
      <u val="single"/>
      <sz val="12"/>
      <name val="Arial"/>
      <family val="2"/>
    </font>
    <font>
      <u val="single"/>
      <sz val="12"/>
      <name val="Arial"/>
      <family val="2"/>
    </font>
    <font>
      <sz val="8"/>
      <color indexed="9"/>
      <name val="Arial"/>
      <family val="2"/>
    </font>
    <font>
      <b/>
      <sz val="8"/>
      <color indexed="9"/>
      <name val="Arial"/>
      <family val="2"/>
    </font>
    <font>
      <b/>
      <sz val="8"/>
      <color indexed="10"/>
      <name val="Arial"/>
      <family val="2"/>
    </font>
    <font>
      <b/>
      <u val="single"/>
      <sz val="15"/>
      <name val="Arial"/>
      <family val="2"/>
    </font>
    <font>
      <b/>
      <u val="single"/>
      <sz val="11"/>
      <name val="Arial"/>
      <family val="2"/>
    </font>
    <font>
      <sz val="10"/>
      <color indexed="8"/>
      <name val="MS Sans Serif"/>
      <family val="2"/>
    </font>
    <font>
      <b/>
      <sz val="12"/>
      <name val="Times New Roman"/>
      <family val="1"/>
    </font>
    <font>
      <sz val="8"/>
      <name val="Times New Roman"/>
      <family val="1"/>
    </font>
    <font>
      <b/>
      <sz val="8"/>
      <name val="Times New Roman"/>
      <family val="1"/>
    </font>
    <font>
      <u val="single"/>
      <sz val="8"/>
      <color indexed="12"/>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3"/>
      <name val="Calibri"/>
      <family val="2"/>
    </font>
    <font>
      <b/>
      <sz val="11"/>
      <color indexed="63"/>
      <name val="Calibri"/>
      <family val="2"/>
    </font>
    <font>
      <sz val="11"/>
      <color indexed="62"/>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63"/>
      <name val="Cambria"/>
      <family val="2"/>
    </font>
    <font>
      <b/>
      <sz val="13"/>
      <color indexed="63"/>
      <name val="Calibri"/>
      <family val="2"/>
    </font>
    <font>
      <b/>
      <sz val="11"/>
      <color indexed="8"/>
      <name val="Calibri"/>
      <family val="2"/>
    </font>
    <font>
      <sz val="10"/>
      <color indexed="8"/>
      <name val="Arial"/>
      <family val="2"/>
    </font>
    <font>
      <b/>
      <sz val="8"/>
      <color indexed="8"/>
      <name val="Arial"/>
      <family val="2"/>
    </font>
    <font>
      <sz val="8"/>
      <color indexed="8"/>
      <name val="Arial"/>
      <family val="2"/>
    </font>
    <font>
      <b/>
      <sz val="10"/>
      <color indexed="8"/>
      <name val="Times New Roman"/>
      <family val="1"/>
    </font>
    <font>
      <u val="single"/>
      <sz val="10"/>
      <color indexed="8"/>
      <name val="Arial"/>
      <family val="2"/>
    </font>
    <font>
      <u val="single"/>
      <sz val="11"/>
      <color indexed="50"/>
      <name val="Calibri"/>
      <family val="2"/>
    </font>
    <font>
      <sz val="8"/>
      <name val="Segoe UI"/>
      <family val="2"/>
    </font>
    <font>
      <b/>
      <sz val="18"/>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8"/>
      <color theme="0"/>
      <name val="Arial"/>
      <family val="2"/>
    </font>
    <font>
      <b/>
      <sz val="8"/>
      <color theme="1"/>
      <name val="Arial"/>
      <family val="2"/>
    </font>
    <font>
      <sz val="8"/>
      <color theme="1"/>
      <name val="Arial"/>
      <family val="2"/>
    </font>
    <font>
      <sz val="8"/>
      <color theme="1"/>
      <name val="Times New Roman"/>
      <family val="1"/>
    </font>
    <font>
      <b/>
      <sz val="8"/>
      <color theme="1"/>
      <name val="Times New Roman"/>
      <family val="1"/>
    </font>
    <font>
      <b/>
      <sz val="10"/>
      <color theme="1"/>
      <name val="Times New Roman"/>
      <family val="1"/>
    </font>
    <font>
      <u val="single"/>
      <sz val="10"/>
      <color theme="1"/>
      <name val="Arial"/>
      <family val="2"/>
    </font>
    <font>
      <b/>
      <sz val="18"/>
      <color theme="1"/>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indexed="8"/>
        <bgColor indexed="64"/>
      </patternFill>
    </fill>
    <fill>
      <patternFill patternType="solid">
        <fgColor indexed="50"/>
        <bgColor indexed="64"/>
      </patternFill>
    </fill>
    <fill>
      <patternFill patternType="solid">
        <fgColor theme="1"/>
        <bgColor indexed="64"/>
      </patternFill>
    </fill>
    <fill>
      <patternFill patternType="solid">
        <fgColor rgb="FFCCFFFF"/>
        <bgColor indexed="64"/>
      </patternFill>
    </fill>
    <fill>
      <patternFill patternType="solid">
        <fgColor indexed="22"/>
        <bgColor indexed="64"/>
      </patternFill>
    </fill>
    <fill>
      <patternFill patternType="solid">
        <fgColor indexed="1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bgColor indexed="64"/>
      </patternFill>
    </fill>
    <fill>
      <patternFill patternType="solid">
        <fgColor indexed="41"/>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hair">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color indexed="63"/>
      </top>
      <bottom style="hair">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hair">
        <color indexed="8"/>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ck"/>
      <right style="thick"/>
      <top style="thin"/>
      <bottom style="thin"/>
    </border>
    <border>
      <left>
        <color indexed="63"/>
      </left>
      <right>
        <color indexed="63"/>
      </right>
      <top>
        <color indexed="63"/>
      </top>
      <bottom style="thin"/>
    </border>
    <border>
      <left style="thin"/>
      <right>
        <color indexed="63"/>
      </right>
      <top style="thin"/>
      <bottom style="medium">
        <color indexed="8"/>
      </bottom>
    </border>
    <border>
      <left>
        <color indexed="63"/>
      </left>
      <right>
        <color indexed="63"/>
      </right>
      <top style="thin"/>
      <bottom style="medium">
        <color indexed="8"/>
      </bottom>
    </border>
    <border>
      <left>
        <color indexed="63"/>
      </left>
      <right style="thin"/>
      <top style="thin"/>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hair">
        <color indexed="8"/>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color indexed="8"/>
      </top>
      <bottom>
        <color indexed="63"/>
      </bottom>
    </border>
    <border>
      <left style="medium"/>
      <right>
        <color indexed="63"/>
      </right>
      <top>
        <color indexed="63"/>
      </top>
      <bottom style="medium"/>
    </border>
    <border>
      <left style="medium"/>
      <right style="medium"/>
      <top style="thin"/>
      <bottom style="thin"/>
    </border>
    <border>
      <left style="medium"/>
      <right style="medium"/>
      <top style="thin"/>
      <bottom>
        <color indexed="63"/>
      </bottom>
    </border>
    <border>
      <left>
        <color indexed="63"/>
      </left>
      <right>
        <color indexed="63"/>
      </right>
      <top style="thin"/>
      <bottom style="thin"/>
    </border>
    <border>
      <left style="thin"/>
      <right style="thin"/>
      <top style="thin"/>
      <bottom style="medium"/>
    </border>
    <border>
      <left style="thin"/>
      <right style="thin"/>
      <top>
        <color indexed="63"/>
      </top>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color indexed="63"/>
      </top>
      <bottom style="thin"/>
    </border>
    <border>
      <left>
        <color indexed="63"/>
      </left>
      <right style="medium"/>
      <top style="thin">
        <color indexed="8"/>
      </top>
      <bottom style="medium">
        <color indexed="8"/>
      </botto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color indexed="63"/>
      </left>
      <right style="thin"/>
      <top style="medium"/>
      <bottom>
        <color indexed="63"/>
      </bottom>
    </border>
    <border>
      <left style="thin"/>
      <right/>
      <top/>
      <bottom style="medium"/>
    </border>
    <border>
      <left>
        <color indexed="63"/>
      </left>
      <right style="thin"/>
      <top>
        <color indexed="63"/>
      </top>
      <bottom style="medium"/>
    </border>
    <border>
      <left style="thin"/>
      <right>
        <color indexed="63"/>
      </right>
      <top style="medium"/>
      <bottom>
        <color indexed="63"/>
      </bottom>
    </border>
    <border>
      <left style="medium">
        <color indexed="8"/>
      </left>
      <right style="medium">
        <color indexed="8"/>
      </right>
      <top style="medium">
        <color indexed="8"/>
      </top>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9" fillId="20" borderId="0" applyNumberFormat="0" applyBorder="0" applyAlignment="0" applyProtection="0"/>
    <xf numFmtId="0" fontId="80" fillId="21" borderId="1" applyNumberFormat="0" applyAlignment="0" applyProtection="0"/>
    <xf numFmtId="0" fontId="81" fillId="22" borderId="2" applyNumberFormat="0" applyAlignment="0" applyProtection="0"/>
    <xf numFmtId="0" fontId="82" fillId="0" borderId="3" applyNumberFormat="0" applyFill="0" applyAlignment="0" applyProtection="0"/>
    <xf numFmtId="0" fontId="83" fillId="0" borderId="4" applyNumberFormat="0" applyFill="0" applyAlignment="0" applyProtection="0"/>
    <xf numFmtId="0" fontId="84" fillId="0" borderId="0" applyNumberFormat="0" applyFill="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85" fillId="29" borderId="1" applyNumberFormat="0" applyAlignment="0" applyProtection="0"/>
    <xf numFmtId="190" fontId="0" fillId="0" borderId="0" applyFont="0" applyFill="0" applyBorder="0" applyAlignment="0" applyProtection="0"/>
    <xf numFmtId="190" fontId="0" fillId="0" borderId="0" applyFont="0" applyFill="0" applyBorder="0" applyAlignment="0" applyProtection="0"/>
    <xf numFmtId="200" fontId="0" fillId="0" borderId="0" applyFont="0" applyFill="0" applyBorder="0" applyAlignment="0" applyProtection="0"/>
    <xf numFmtId="0" fontId="6" fillId="0" borderId="0" applyNumberFormat="0" applyFill="0" applyBorder="0" applyAlignment="0" applyProtection="0"/>
    <xf numFmtId="0" fontId="86" fillId="0" borderId="0" applyNumberFormat="0" applyFill="0" applyBorder="0" applyAlignment="0" applyProtection="0"/>
    <xf numFmtId="0" fontId="7" fillId="0" borderId="0" applyNumberFormat="0" applyFill="0" applyBorder="0" applyAlignment="0" applyProtection="0"/>
    <xf numFmtId="0" fontId="87" fillId="30" borderId="0" applyNumberFormat="0" applyBorder="0" applyAlignment="0" applyProtection="0"/>
    <xf numFmtId="185" fontId="0" fillId="0" borderId="0" applyFill="0" applyBorder="0" applyAlignment="0" applyProtection="0"/>
    <xf numFmtId="183" fontId="0" fillId="0" borderId="0" applyFill="0" applyBorder="0" applyAlignment="0" applyProtection="0"/>
    <xf numFmtId="180"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0"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78" fontId="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0" fillId="0" borderId="0" applyFont="0" applyFill="0" applyBorder="0" applyAlignment="0" applyProtection="0"/>
    <xf numFmtId="185" fontId="0" fillId="0" borderId="0" applyFill="0" applyBorder="0" applyAlignment="0" applyProtection="0"/>
    <xf numFmtId="185" fontId="0" fillId="0" borderId="0" applyFill="0" applyBorder="0" applyAlignment="0" applyProtection="0"/>
    <xf numFmtId="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0" fontId="0" fillId="0" borderId="0" applyFont="0" applyFill="0" applyBorder="0" applyAlignment="0" applyProtection="0"/>
    <xf numFmtId="199" fontId="0" fillId="0" borderId="0" applyFont="0" applyFill="0" applyBorder="0" applyAlignment="0" applyProtection="0"/>
    <xf numFmtId="185" fontId="0" fillId="0" borderId="0" applyFill="0" applyBorder="0" applyAlignment="0" applyProtection="0"/>
    <xf numFmtId="177" fontId="77" fillId="0" borderId="0" applyFont="0" applyFill="0" applyBorder="0" applyAlignment="0" applyProtection="0"/>
    <xf numFmtId="184" fontId="0" fillId="0" borderId="0" applyFill="0" applyBorder="0" applyAlignment="0" applyProtection="0"/>
    <xf numFmtId="182" fontId="0" fillId="0" borderId="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201" fontId="27" fillId="0" borderId="0" applyFill="0" applyBorder="0" applyAlignment="0" applyProtection="0"/>
    <xf numFmtId="184" fontId="0" fillId="0" borderId="0" applyFill="0" applyBorder="0" applyAlignment="0" applyProtection="0"/>
    <xf numFmtId="176" fontId="77" fillId="0" borderId="0" applyFont="0" applyFill="0" applyBorder="0" applyAlignment="0" applyProtection="0"/>
    <xf numFmtId="184" fontId="0" fillId="0" borderId="0" applyFill="0" applyBorder="0" applyAlignment="0" applyProtection="0"/>
    <xf numFmtId="0" fontId="8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7" fillId="0" borderId="0">
      <alignment/>
      <protection/>
    </xf>
    <xf numFmtId="0" fontId="49" fillId="0" borderId="0">
      <alignment/>
      <protection/>
    </xf>
    <xf numFmtId="0" fontId="0" fillId="32" borderId="5" applyNumberFormat="0" applyFont="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77"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77" fillId="0" borderId="0" applyFont="0" applyFill="0" applyBorder="0" applyAlignment="0" applyProtection="0"/>
    <xf numFmtId="0" fontId="89" fillId="21" borderId="6"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7" applyNumberFormat="0" applyFill="0" applyAlignment="0" applyProtection="0"/>
    <xf numFmtId="0" fontId="84" fillId="0" borderId="8" applyNumberFormat="0" applyFill="0" applyAlignment="0" applyProtection="0"/>
    <xf numFmtId="0" fontId="94" fillId="0" borderId="9" applyNumberFormat="0" applyFill="0" applyAlignment="0" applyProtection="0"/>
  </cellStyleXfs>
  <cellXfs count="615">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1" fillId="0" borderId="11" xfId="0" applyFont="1" applyBorder="1" applyAlignment="1">
      <alignment/>
    </xf>
    <xf numFmtId="0" fontId="9" fillId="0" borderId="0" xfId="0" applyFont="1" applyBorder="1" applyAlignment="1">
      <alignment/>
    </xf>
    <xf numFmtId="3" fontId="1" fillId="0" borderId="0" xfId="0" applyNumberFormat="1" applyFont="1" applyBorder="1" applyAlignment="1">
      <alignment/>
    </xf>
    <xf numFmtId="3" fontId="1" fillId="0" borderId="0" xfId="0" applyNumberFormat="1" applyFont="1" applyAlignment="1">
      <alignment/>
    </xf>
    <xf numFmtId="4" fontId="1" fillId="0" borderId="0" xfId="0" applyNumberFormat="1" applyFont="1" applyAlignment="1">
      <alignment/>
    </xf>
    <xf numFmtId="3" fontId="1" fillId="0" borderId="12" xfId="0" applyNumberFormat="1" applyFont="1" applyBorder="1" applyAlignment="1">
      <alignment/>
    </xf>
    <xf numFmtId="0" fontId="8" fillId="0" borderId="13" xfId="0" applyFont="1" applyBorder="1" applyAlignment="1">
      <alignment/>
    </xf>
    <xf numFmtId="0" fontId="9" fillId="0" borderId="13" xfId="0" applyFont="1" applyBorder="1" applyAlignment="1">
      <alignment/>
    </xf>
    <xf numFmtId="0" fontId="13" fillId="0" borderId="0" xfId="0" applyFont="1" applyAlignment="1">
      <alignment/>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3" fontId="4" fillId="0" borderId="0" xfId="0" applyNumberFormat="1" applyFont="1" applyAlignment="1">
      <alignment/>
    </xf>
    <xf numFmtId="9" fontId="1" fillId="0" borderId="12" xfId="89" applyFont="1" applyBorder="1" applyAlignment="1">
      <alignment/>
    </xf>
    <xf numFmtId="3" fontId="8" fillId="0" borderId="13" xfId="0" applyNumberFormat="1" applyFont="1" applyBorder="1" applyAlignment="1">
      <alignment/>
    </xf>
    <xf numFmtId="0" fontId="1" fillId="0" borderId="16" xfId="0" applyFont="1" applyBorder="1" applyAlignment="1">
      <alignment/>
    </xf>
    <xf numFmtId="0" fontId="10" fillId="0" borderId="17" xfId="0" applyFont="1" applyBorder="1" applyAlignment="1">
      <alignment horizontal="left"/>
    </xf>
    <xf numFmtId="3" fontId="10" fillId="0" borderId="10" xfId="0" applyNumberFormat="1" applyFont="1" applyBorder="1" applyAlignment="1">
      <alignment horizontal="left"/>
    </xf>
    <xf numFmtId="0" fontId="1" fillId="0" borderId="10" xfId="0" applyFont="1" applyBorder="1" applyAlignment="1">
      <alignment horizontal="left"/>
    </xf>
    <xf numFmtId="0" fontId="10" fillId="0" borderId="10" xfId="0" applyFont="1" applyBorder="1" applyAlignment="1">
      <alignment horizontal="left"/>
    </xf>
    <xf numFmtId="0" fontId="1" fillId="0" borderId="18" xfId="0" applyFont="1" applyBorder="1" applyAlignment="1">
      <alignment horizontal="left"/>
    </xf>
    <xf numFmtId="0" fontId="11" fillId="0" borderId="0" xfId="0" applyFont="1" applyFill="1" applyBorder="1" applyAlignment="1">
      <alignment horizontal="left"/>
    </xf>
    <xf numFmtId="4" fontId="1" fillId="0" borderId="12" xfId="89" applyNumberFormat="1" applyFont="1" applyBorder="1" applyAlignment="1">
      <alignment/>
    </xf>
    <xf numFmtId="3" fontId="1" fillId="0" borderId="12" xfId="89" applyNumberFormat="1" applyFont="1" applyBorder="1" applyAlignment="1">
      <alignment/>
    </xf>
    <xf numFmtId="0" fontId="12" fillId="0" borderId="19" xfId="0" applyFont="1" applyFill="1" applyBorder="1" applyAlignment="1">
      <alignment/>
    </xf>
    <xf numFmtId="0" fontId="14" fillId="0" borderId="20" xfId="0" applyFont="1" applyBorder="1" applyAlignment="1">
      <alignment/>
    </xf>
    <xf numFmtId="3" fontId="14" fillId="0" borderId="21" xfId="0" applyNumberFormat="1" applyFont="1" applyBorder="1" applyAlignment="1">
      <alignment/>
    </xf>
    <xf numFmtId="0" fontId="15" fillId="0" borderId="21" xfId="0" applyFont="1" applyBorder="1" applyAlignment="1">
      <alignment/>
    </xf>
    <xf numFmtId="0" fontId="15" fillId="0" borderId="22" xfId="0" applyFont="1" applyBorder="1" applyAlignment="1">
      <alignment/>
    </xf>
    <xf numFmtId="0" fontId="15" fillId="0" borderId="0" xfId="0" applyFont="1" applyAlignment="1">
      <alignment/>
    </xf>
    <xf numFmtId="0" fontId="14" fillId="0" borderId="23" xfId="0" applyFont="1" applyBorder="1" applyAlignment="1">
      <alignment/>
    </xf>
    <xf numFmtId="3" fontId="14" fillId="0" borderId="0" xfId="0" applyNumberFormat="1" applyFont="1" applyBorder="1" applyAlignment="1">
      <alignment/>
    </xf>
    <xf numFmtId="0" fontId="15" fillId="0" borderId="0" xfId="0" applyFont="1" applyBorder="1" applyAlignment="1">
      <alignment/>
    </xf>
    <xf numFmtId="0" fontId="15" fillId="0" borderId="11" xfId="0" applyFont="1" applyBorder="1" applyAlignment="1">
      <alignment/>
    </xf>
    <xf numFmtId="0" fontId="16" fillId="0" borderId="23" xfId="0" applyFont="1" applyBorder="1" applyAlignment="1">
      <alignment/>
    </xf>
    <xf numFmtId="3" fontId="16" fillId="0" borderId="0" xfId="0" applyNumberFormat="1" applyFont="1" applyBorder="1" applyAlignment="1">
      <alignment horizontal="center"/>
    </xf>
    <xf numFmtId="3" fontId="16" fillId="0" borderId="0" xfId="0" applyNumberFormat="1" applyFont="1" applyBorder="1" applyAlignment="1">
      <alignment/>
    </xf>
    <xf numFmtId="3" fontId="16" fillId="0" borderId="0" xfId="0" applyNumberFormat="1" applyFont="1" applyBorder="1" applyAlignment="1">
      <alignment horizontal="right"/>
    </xf>
    <xf numFmtId="2" fontId="15" fillId="0" borderId="0" xfId="0" applyNumberFormat="1" applyFont="1" applyBorder="1" applyAlignment="1">
      <alignment/>
    </xf>
    <xf numFmtId="9" fontId="16" fillId="0" borderId="23" xfId="0" applyNumberFormat="1" applyFont="1" applyBorder="1" applyAlignment="1">
      <alignment/>
    </xf>
    <xf numFmtId="10" fontId="14" fillId="0" borderId="0" xfId="0" applyNumberFormat="1" applyFont="1" applyBorder="1" applyAlignment="1">
      <alignment/>
    </xf>
    <xf numFmtId="3" fontId="15" fillId="0" borderId="0" xfId="0" applyNumberFormat="1" applyFont="1" applyAlignment="1">
      <alignment/>
    </xf>
    <xf numFmtId="0" fontId="15" fillId="0" borderId="24" xfId="0" applyFont="1" applyBorder="1" applyAlignment="1">
      <alignment/>
    </xf>
    <xf numFmtId="0" fontId="15" fillId="0" borderId="25" xfId="0" applyFont="1" applyBorder="1" applyAlignment="1">
      <alignment/>
    </xf>
    <xf numFmtId="0" fontId="15" fillId="0" borderId="26" xfId="0" applyFont="1" applyBorder="1" applyAlignment="1">
      <alignment/>
    </xf>
    <xf numFmtId="4" fontId="15" fillId="0" borderId="0" xfId="0" applyNumberFormat="1" applyFont="1" applyAlignment="1">
      <alignment/>
    </xf>
    <xf numFmtId="0" fontId="14" fillId="0" borderId="23" xfId="0" applyFont="1" applyFill="1" applyBorder="1" applyAlignment="1">
      <alignment/>
    </xf>
    <xf numFmtId="4" fontId="17" fillId="0" borderId="0" xfId="0" applyNumberFormat="1" applyFont="1" applyBorder="1" applyAlignment="1">
      <alignment/>
    </xf>
    <xf numFmtId="187" fontId="18" fillId="0" borderId="11" xfId="89" applyNumberFormat="1" applyFont="1" applyFill="1" applyBorder="1" applyAlignment="1" applyProtection="1">
      <alignment/>
      <protection/>
    </xf>
    <xf numFmtId="4" fontId="15" fillId="0" borderId="0" xfId="0" applyNumberFormat="1" applyFont="1" applyBorder="1" applyAlignment="1">
      <alignment/>
    </xf>
    <xf numFmtId="187" fontId="18" fillId="0" borderId="27" xfId="89" applyNumberFormat="1" applyFont="1" applyFill="1" applyBorder="1" applyAlignment="1" applyProtection="1">
      <alignment/>
      <protection/>
    </xf>
    <xf numFmtId="0" fontId="14" fillId="0" borderId="23" xfId="0" applyFont="1" applyFill="1" applyBorder="1" applyAlignment="1">
      <alignment horizontal="left"/>
    </xf>
    <xf numFmtId="3" fontId="15" fillId="0" borderId="0" xfId="0" applyNumberFormat="1" applyFont="1" applyBorder="1" applyAlignment="1">
      <alignment/>
    </xf>
    <xf numFmtId="3" fontId="19" fillId="0" borderId="13" xfId="0" applyNumberFormat="1" applyFont="1" applyBorder="1" applyAlignment="1">
      <alignment/>
    </xf>
    <xf numFmtId="188" fontId="18" fillId="0" borderId="11" xfId="89" applyNumberFormat="1" applyFont="1" applyFill="1" applyBorder="1" applyAlignment="1" applyProtection="1">
      <alignment/>
      <protection/>
    </xf>
    <xf numFmtId="0" fontId="15" fillId="0" borderId="17" xfId="0" applyFont="1" applyBorder="1" applyAlignment="1">
      <alignment/>
    </xf>
    <xf numFmtId="0" fontId="15" fillId="0" borderId="10" xfId="0" applyFont="1" applyBorder="1" applyAlignment="1">
      <alignment/>
    </xf>
    <xf numFmtId="0" fontId="15" fillId="0" borderId="18" xfId="0" applyFont="1" applyBorder="1" applyAlignment="1">
      <alignment/>
    </xf>
    <xf numFmtId="0" fontId="18" fillId="0" borderId="21" xfId="0" applyFont="1" applyBorder="1" applyAlignment="1">
      <alignment/>
    </xf>
    <xf numFmtId="3" fontId="14" fillId="0" borderId="21" xfId="0" applyNumberFormat="1" applyFont="1" applyBorder="1" applyAlignment="1">
      <alignment horizontal="center" vertical="center"/>
    </xf>
    <xf numFmtId="0" fontId="15" fillId="0" borderId="21" xfId="0" applyFont="1" applyBorder="1" applyAlignment="1">
      <alignment horizontal="center" vertical="center"/>
    </xf>
    <xf numFmtId="186" fontId="14" fillId="0" borderId="0" xfId="0" applyNumberFormat="1" applyFont="1" applyBorder="1" applyAlignment="1">
      <alignment/>
    </xf>
    <xf numFmtId="9" fontId="15" fillId="0" borderId="0" xfId="89" applyFont="1" applyFill="1" applyBorder="1" applyAlignment="1" applyProtection="1">
      <alignment/>
      <protection/>
    </xf>
    <xf numFmtId="3" fontId="19" fillId="0" borderId="28" xfId="0" applyNumberFormat="1" applyFont="1" applyBorder="1" applyAlignment="1">
      <alignment/>
    </xf>
    <xf numFmtId="4" fontId="15" fillId="0" borderId="10" xfId="0" applyNumberFormat="1" applyFont="1" applyBorder="1" applyAlignment="1">
      <alignment/>
    </xf>
    <xf numFmtId="4" fontId="14" fillId="0" borderId="0" xfId="0" applyNumberFormat="1" applyFont="1" applyBorder="1" applyAlignment="1">
      <alignment/>
    </xf>
    <xf numFmtId="3" fontId="14" fillId="0" borderId="20" xfId="0" applyNumberFormat="1" applyFont="1" applyBorder="1" applyAlignment="1">
      <alignment/>
    </xf>
    <xf numFmtId="189" fontId="16" fillId="0" borderId="11" xfId="53" applyNumberFormat="1" applyFont="1" applyBorder="1" applyAlignment="1">
      <alignment horizontal="left"/>
    </xf>
    <xf numFmtId="187" fontId="15" fillId="0" borderId="0" xfId="0" applyNumberFormat="1" applyFont="1" applyAlignment="1">
      <alignment/>
    </xf>
    <xf numFmtId="187" fontId="4" fillId="0" borderId="0" xfId="0" applyNumberFormat="1" applyFont="1" applyAlignment="1">
      <alignment/>
    </xf>
    <xf numFmtId="4" fontId="1" fillId="0" borderId="0" xfId="0" applyNumberFormat="1" applyFont="1" applyBorder="1" applyAlignment="1">
      <alignment/>
    </xf>
    <xf numFmtId="3" fontId="19" fillId="33" borderId="13" xfId="0" applyNumberFormat="1" applyFont="1" applyFill="1" applyBorder="1" applyAlignment="1">
      <alignment/>
    </xf>
    <xf numFmtId="3" fontId="19" fillId="33" borderId="28" xfId="0" applyNumberFormat="1" applyFont="1" applyFill="1" applyBorder="1" applyAlignment="1">
      <alignment/>
    </xf>
    <xf numFmtId="3" fontId="19" fillId="0" borderId="13" xfId="0" applyNumberFormat="1" applyFont="1" applyFill="1" applyBorder="1" applyAlignment="1">
      <alignment/>
    </xf>
    <xf numFmtId="187" fontId="1" fillId="0" borderId="0" xfId="0" applyNumberFormat="1" applyFont="1" applyAlignment="1">
      <alignment/>
    </xf>
    <xf numFmtId="4" fontId="1" fillId="0" borderId="12" xfId="0" applyNumberFormat="1" applyFont="1" applyBorder="1" applyAlignment="1">
      <alignment/>
    </xf>
    <xf numFmtId="4" fontId="1" fillId="0" borderId="12" xfId="89" applyNumberFormat="1" applyFont="1" applyBorder="1" applyAlignment="1">
      <alignment wrapText="1"/>
    </xf>
    <xf numFmtId="187" fontId="18" fillId="0" borderId="0" xfId="89" applyNumberFormat="1" applyFont="1" applyFill="1" applyBorder="1" applyAlignment="1" applyProtection="1">
      <alignment/>
      <protection/>
    </xf>
    <xf numFmtId="187" fontId="18" fillId="0" borderId="29" xfId="89" applyNumberFormat="1" applyFont="1" applyFill="1" applyBorder="1" applyAlignment="1" applyProtection="1">
      <alignment/>
      <protection/>
    </xf>
    <xf numFmtId="188" fontId="18" fillId="0" borderId="0" xfId="89" applyNumberFormat="1" applyFont="1" applyFill="1" applyBorder="1" applyAlignment="1" applyProtection="1">
      <alignment/>
      <protection/>
    </xf>
    <xf numFmtId="0" fontId="15" fillId="0" borderId="30" xfId="0" applyFont="1" applyBorder="1" applyAlignment="1">
      <alignment/>
    </xf>
    <xf numFmtId="0" fontId="15" fillId="0" borderId="31" xfId="0" applyFont="1" applyBorder="1" applyAlignment="1">
      <alignment/>
    </xf>
    <xf numFmtId="0" fontId="15" fillId="0" borderId="32" xfId="0" applyFont="1" applyBorder="1" applyAlignment="1">
      <alignment/>
    </xf>
    <xf numFmtId="0" fontId="14" fillId="0" borderId="33" xfId="0" applyFont="1" applyFill="1" applyBorder="1" applyAlignment="1">
      <alignment/>
    </xf>
    <xf numFmtId="3" fontId="14" fillId="0" borderId="34" xfId="0" applyNumberFormat="1" applyFont="1" applyBorder="1" applyAlignment="1">
      <alignment/>
    </xf>
    <xf numFmtId="0" fontId="15" fillId="0" borderId="34" xfId="0" applyFont="1" applyBorder="1" applyAlignment="1">
      <alignment/>
    </xf>
    <xf numFmtId="4" fontId="17" fillId="0" borderId="34" xfId="0" applyNumberFormat="1" applyFont="1" applyBorder="1" applyAlignment="1">
      <alignment/>
    </xf>
    <xf numFmtId="187" fontId="18" fillId="0" borderId="35" xfId="89" applyNumberFormat="1" applyFont="1" applyFill="1" applyBorder="1" applyAlignment="1" applyProtection="1">
      <alignment/>
      <protection/>
    </xf>
    <xf numFmtId="0" fontId="14" fillId="0" borderId="36" xfId="0" applyFont="1" applyFill="1" applyBorder="1" applyAlignment="1">
      <alignment/>
    </xf>
    <xf numFmtId="187" fontId="18" fillId="0" borderId="37" xfId="89" applyNumberFormat="1" applyFont="1" applyFill="1" applyBorder="1" applyAlignment="1" applyProtection="1">
      <alignment/>
      <protection/>
    </xf>
    <xf numFmtId="188" fontId="18" fillId="0" borderId="38" xfId="89" applyNumberFormat="1" applyFont="1" applyFill="1" applyBorder="1" applyAlignment="1" applyProtection="1">
      <alignment/>
      <protection/>
    </xf>
    <xf numFmtId="0" fontId="1" fillId="0" borderId="39" xfId="0" applyFont="1" applyBorder="1" applyAlignment="1">
      <alignment/>
    </xf>
    <xf numFmtId="0" fontId="1" fillId="0" borderId="40" xfId="0" applyFont="1" applyBorder="1" applyAlignment="1">
      <alignment/>
    </xf>
    <xf numFmtId="0" fontId="12" fillId="0" borderId="21" xfId="0" applyFont="1" applyFill="1" applyBorder="1" applyAlignment="1">
      <alignment vertical="center" wrapText="1"/>
    </xf>
    <xf numFmtId="0" fontId="31" fillId="0" borderId="11" xfId="0" applyFont="1" applyBorder="1" applyAlignment="1">
      <alignment/>
    </xf>
    <xf numFmtId="2" fontId="15" fillId="0" borderId="11" xfId="0" applyNumberFormat="1" applyFont="1" applyBorder="1" applyAlignment="1">
      <alignment/>
    </xf>
    <xf numFmtId="186" fontId="1" fillId="0" borderId="12" xfId="89" applyNumberFormat="1" applyFont="1" applyBorder="1" applyAlignment="1">
      <alignment/>
    </xf>
    <xf numFmtId="3" fontId="15" fillId="0" borderId="10" xfId="0" applyNumberFormat="1" applyFont="1" applyBorder="1" applyAlignment="1">
      <alignment/>
    </xf>
    <xf numFmtId="3" fontId="15" fillId="0" borderId="25" xfId="0" applyNumberFormat="1" applyFont="1" applyBorder="1" applyAlignment="1">
      <alignment/>
    </xf>
    <xf numFmtId="9" fontId="15" fillId="0" borderId="11" xfId="0" applyNumberFormat="1" applyFont="1" applyBorder="1" applyAlignment="1">
      <alignment/>
    </xf>
    <xf numFmtId="0" fontId="15" fillId="0" borderId="11" xfId="0" applyFont="1" applyBorder="1" applyAlignment="1">
      <alignment horizontal="center"/>
    </xf>
    <xf numFmtId="0" fontId="14" fillId="33" borderId="20" xfId="0" applyFont="1" applyFill="1" applyBorder="1" applyAlignment="1">
      <alignment/>
    </xf>
    <xf numFmtId="3" fontId="14" fillId="33" borderId="21" xfId="0" applyNumberFormat="1" applyFont="1" applyFill="1" applyBorder="1" applyAlignment="1">
      <alignment/>
    </xf>
    <xf numFmtId="0" fontId="15" fillId="33" borderId="21" xfId="0" applyFont="1" applyFill="1" applyBorder="1" applyAlignment="1">
      <alignment/>
    </xf>
    <xf numFmtId="0" fontId="15" fillId="33" borderId="22" xfId="0" applyFont="1" applyFill="1" applyBorder="1" applyAlignment="1">
      <alignment/>
    </xf>
    <xf numFmtId="0" fontId="14" fillId="33" borderId="23" xfId="0" applyFont="1" applyFill="1" applyBorder="1" applyAlignment="1">
      <alignment/>
    </xf>
    <xf numFmtId="3" fontId="14" fillId="33" borderId="0" xfId="0" applyNumberFormat="1" applyFont="1" applyFill="1" applyBorder="1" applyAlignment="1">
      <alignment/>
    </xf>
    <xf numFmtId="0" fontId="15" fillId="33" borderId="0" xfId="0" applyFont="1" applyFill="1" applyBorder="1" applyAlignment="1">
      <alignment/>
    </xf>
    <xf numFmtId="0" fontId="15" fillId="33" borderId="11" xfId="0" applyFont="1" applyFill="1" applyBorder="1" applyAlignment="1">
      <alignment/>
    </xf>
    <xf numFmtId="0" fontId="16" fillId="33" borderId="23" xfId="0" applyFont="1" applyFill="1" applyBorder="1" applyAlignment="1">
      <alignment/>
    </xf>
    <xf numFmtId="3" fontId="16" fillId="33" borderId="0" xfId="0" applyNumberFormat="1" applyFont="1" applyFill="1" applyBorder="1" applyAlignment="1">
      <alignment horizontal="center"/>
    </xf>
    <xf numFmtId="3" fontId="16" fillId="33" borderId="0" xfId="0" applyNumberFormat="1" applyFont="1" applyFill="1" applyBorder="1" applyAlignment="1">
      <alignment/>
    </xf>
    <xf numFmtId="3" fontId="16" fillId="33" borderId="0" xfId="0" applyNumberFormat="1" applyFont="1" applyFill="1" applyBorder="1" applyAlignment="1">
      <alignment horizontal="right"/>
    </xf>
    <xf numFmtId="9" fontId="16" fillId="33" borderId="23" xfId="0" applyNumberFormat="1" applyFont="1" applyFill="1" applyBorder="1" applyAlignment="1">
      <alignment/>
    </xf>
    <xf numFmtId="2" fontId="15" fillId="33" borderId="11" xfId="0" applyNumberFormat="1" applyFont="1" applyFill="1" applyBorder="1" applyAlignment="1">
      <alignment/>
    </xf>
    <xf numFmtId="0" fontId="31" fillId="33" borderId="11" xfId="0" applyFont="1" applyFill="1" applyBorder="1" applyAlignment="1">
      <alignment/>
    </xf>
    <xf numFmtId="10" fontId="14" fillId="33" borderId="0" xfId="0" applyNumberFormat="1" applyFont="1" applyFill="1" applyBorder="1" applyAlignment="1">
      <alignment/>
    </xf>
    <xf numFmtId="0" fontId="15" fillId="33" borderId="24" xfId="0" applyFont="1" applyFill="1" applyBorder="1" applyAlignment="1">
      <alignment/>
    </xf>
    <xf numFmtId="0" fontId="15" fillId="33" borderId="25" xfId="0" applyFont="1" applyFill="1" applyBorder="1" applyAlignment="1">
      <alignment/>
    </xf>
    <xf numFmtId="0" fontId="15" fillId="33" borderId="26" xfId="0" applyFont="1" applyFill="1" applyBorder="1" applyAlignment="1">
      <alignment/>
    </xf>
    <xf numFmtId="4" fontId="17" fillId="33" borderId="0" xfId="0" applyNumberFormat="1" applyFont="1" applyFill="1" applyBorder="1" applyAlignment="1">
      <alignment/>
    </xf>
    <xf numFmtId="187" fontId="18" fillId="33" borderId="11" xfId="89" applyNumberFormat="1" applyFont="1" applyFill="1" applyBorder="1" applyAlignment="1" applyProtection="1">
      <alignment/>
      <protection/>
    </xf>
    <xf numFmtId="4" fontId="15" fillId="33" borderId="0" xfId="0" applyNumberFormat="1" applyFont="1" applyFill="1" applyBorder="1" applyAlignment="1">
      <alignment/>
    </xf>
    <xf numFmtId="187" fontId="18" fillId="33" borderId="27" xfId="89" applyNumberFormat="1" applyFont="1" applyFill="1" applyBorder="1" applyAlignment="1" applyProtection="1">
      <alignment/>
      <protection/>
    </xf>
    <xf numFmtId="0" fontId="14" fillId="33" borderId="23" xfId="0" applyFont="1" applyFill="1" applyBorder="1" applyAlignment="1">
      <alignment horizontal="left"/>
    </xf>
    <xf numFmtId="3" fontId="15" fillId="33" borderId="0" xfId="0" applyNumberFormat="1" applyFont="1" applyFill="1" applyBorder="1" applyAlignment="1">
      <alignment/>
    </xf>
    <xf numFmtId="188" fontId="18" fillId="33" borderId="11" xfId="89" applyNumberFormat="1" applyFont="1" applyFill="1" applyBorder="1" applyAlignment="1" applyProtection="1">
      <alignment/>
      <protection/>
    </xf>
    <xf numFmtId="0" fontId="15" fillId="33" borderId="17" xfId="0" applyFont="1" applyFill="1" applyBorder="1" applyAlignment="1">
      <alignment/>
    </xf>
    <xf numFmtId="0" fontId="15" fillId="33" borderId="10" xfId="0" applyFont="1" applyFill="1" applyBorder="1" applyAlignment="1">
      <alignment/>
    </xf>
    <xf numFmtId="4" fontId="15" fillId="33" borderId="10" xfId="0" applyNumberFormat="1" applyFont="1" applyFill="1" applyBorder="1" applyAlignment="1">
      <alignment/>
    </xf>
    <xf numFmtId="0" fontId="15" fillId="33" borderId="18" xfId="0" applyFont="1" applyFill="1" applyBorder="1" applyAlignment="1">
      <alignment/>
    </xf>
    <xf numFmtId="0" fontId="15" fillId="33" borderId="0" xfId="0" applyFont="1" applyFill="1" applyAlignment="1">
      <alignment/>
    </xf>
    <xf numFmtId="1" fontId="15" fillId="33" borderId="11" xfId="0" applyNumberFormat="1" applyFont="1" applyFill="1" applyBorder="1" applyAlignment="1">
      <alignment/>
    </xf>
    <xf numFmtId="3" fontId="14" fillId="33" borderId="20" xfId="0" applyNumberFormat="1" applyFont="1" applyFill="1" applyBorder="1" applyAlignment="1">
      <alignment/>
    </xf>
    <xf numFmtId="4" fontId="15" fillId="33" borderId="0" xfId="89" applyNumberFormat="1" applyFont="1" applyFill="1" applyBorder="1" applyAlignment="1" applyProtection="1">
      <alignment/>
      <protection/>
    </xf>
    <xf numFmtId="191" fontId="1" fillId="0" borderId="41" xfId="0" applyNumberFormat="1" applyFont="1" applyBorder="1" applyAlignment="1">
      <alignment/>
    </xf>
    <xf numFmtId="0" fontId="31" fillId="0" borderId="10" xfId="0" applyFont="1" applyBorder="1" applyAlignment="1">
      <alignment/>
    </xf>
    <xf numFmtId="4" fontId="30" fillId="0" borderId="0" xfId="0" applyNumberFormat="1" applyFont="1" applyBorder="1" applyAlignment="1">
      <alignment/>
    </xf>
    <xf numFmtId="4" fontId="15" fillId="34" borderId="10" xfId="0" applyNumberFormat="1" applyFont="1" applyFill="1" applyBorder="1" applyAlignment="1">
      <alignment/>
    </xf>
    <xf numFmtId="0" fontId="31" fillId="0" borderId="0" xfId="0" applyFont="1" applyBorder="1" applyAlignment="1">
      <alignment/>
    </xf>
    <xf numFmtId="0" fontId="1" fillId="0" borderId="42" xfId="0" applyFont="1" applyBorder="1" applyAlignment="1">
      <alignment/>
    </xf>
    <xf numFmtId="0" fontId="31" fillId="0" borderId="42" xfId="0" applyFont="1" applyBorder="1" applyAlignment="1">
      <alignment/>
    </xf>
    <xf numFmtId="4" fontId="15" fillId="0" borderId="42" xfId="0" applyNumberFormat="1" applyFont="1" applyBorder="1" applyAlignment="1">
      <alignment/>
    </xf>
    <xf numFmtId="0" fontId="15" fillId="0" borderId="43" xfId="0" applyFont="1" applyBorder="1" applyAlignment="1">
      <alignment/>
    </xf>
    <xf numFmtId="0" fontId="15" fillId="0" borderId="44" xfId="0" applyFont="1" applyBorder="1" applyAlignment="1">
      <alignment/>
    </xf>
    <xf numFmtId="0" fontId="15" fillId="0" borderId="45" xfId="0" applyFont="1" applyBorder="1" applyAlignment="1">
      <alignment/>
    </xf>
    <xf numFmtId="0" fontId="14" fillId="0" borderId="46" xfId="0" applyFont="1" applyFill="1" applyBorder="1" applyAlignment="1">
      <alignment/>
    </xf>
    <xf numFmtId="187" fontId="18" fillId="0" borderId="47" xfId="89" applyNumberFormat="1" applyFont="1" applyFill="1" applyBorder="1" applyAlignment="1" applyProtection="1">
      <alignment/>
      <protection/>
    </xf>
    <xf numFmtId="187" fontId="18" fillId="0" borderId="48" xfId="89" applyNumberFormat="1" applyFont="1" applyFill="1" applyBorder="1" applyAlignment="1" applyProtection="1">
      <alignment/>
      <protection/>
    </xf>
    <xf numFmtId="0" fontId="14" fillId="0" borderId="46" xfId="0" applyFont="1" applyFill="1" applyBorder="1" applyAlignment="1">
      <alignment horizontal="left"/>
    </xf>
    <xf numFmtId="188" fontId="18" fillId="0" borderId="47" xfId="89" applyNumberFormat="1" applyFont="1" applyFill="1" applyBorder="1" applyAlignment="1" applyProtection="1">
      <alignment/>
      <protection/>
    </xf>
    <xf numFmtId="0" fontId="1" fillId="0" borderId="49" xfId="0" applyFont="1" applyBorder="1" applyAlignment="1">
      <alignment/>
    </xf>
    <xf numFmtId="0" fontId="1" fillId="0" borderId="50" xfId="0" applyFont="1" applyBorder="1" applyAlignment="1">
      <alignment/>
    </xf>
    <xf numFmtId="0" fontId="14" fillId="0" borderId="51" xfId="0" applyFont="1" applyFill="1" applyBorder="1" applyAlignment="1">
      <alignment/>
    </xf>
    <xf numFmtId="3" fontId="14" fillId="0" borderId="52" xfId="0" applyNumberFormat="1" applyFont="1" applyBorder="1" applyAlignment="1">
      <alignment/>
    </xf>
    <xf numFmtId="0" fontId="15" fillId="0" borderId="52" xfId="0" applyFont="1" applyBorder="1" applyAlignment="1">
      <alignment/>
    </xf>
    <xf numFmtId="4" fontId="17" fillId="0" borderId="52" xfId="0" applyNumberFormat="1" applyFont="1" applyBorder="1" applyAlignment="1">
      <alignment/>
    </xf>
    <xf numFmtId="187" fontId="18" fillId="0" borderId="53" xfId="89" applyNumberFormat="1" applyFont="1" applyFill="1" applyBorder="1" applyAlignment="1" applyProtection="1">
      <alignment/>
      <protection/>
    </xf>
    <xf numFmtId="3" fontId="16" fillId="35" borderId="0" xfId="0" applyNumberFormat="1" applyFont="1" applyFill="1" applyBorder="1" applyAlignment="1">
      <alignment/>
    </xf>
    <xf numFmtId="187" fontId="32" fillId="0" borderId="47" xfId="89" applyNumberFormat="1" applyFont="1" applyFill="1" applyBorder="1" applyAlignment="1" applyProtection="1">
      <alignment/>
      <protection/>
    </xf>
    <xf numFmtId="3" fontId="15" fillId="0" borderId="11" xfId="0" applyNumberFormat="1" applyFont="1" applyBorder="1" applyAlignment="1">
      <alignment/>
    </xf>
    <xf numFmtId="0" fontId="0" fillId="0" borderId="0" xfId="0" applyFont="1" applyAlignment="1">
      <alignment/>
    </xf>
    <xf numFmtId="0" fontId="0" fillId="0" borderId="36" xfId="0" applyFont="1" applyBorder="1" applyAlignment="1">
      <alignment vertical="center"/>
    </xf>
    <xf numFmtId="0" fontId="0" fillId="0" borderId="0" xfId="0" applyFont="1" applyBorder="1" applyAlignment="1">
      <alignment vertical="center"/>
    </xf>
    <xf numFmtId="0" fontId="0" fillId="0" borderId="38" xfId="0" applyFont="1" applyBorder="1" applyAlignment="1">
      <alignment vertical="center"/>
    </xf>
    <xf numFmtId="0" fontId="27" fillId="0" borderId="0" xfId="0" applyFont="1" applyAlignment="1">
      <alignment/>
    </xf>
    <xf numFmtId="3" fontId="0" fillId="0" borderId="0" xfId="0" applyNumberFormat="1" applyFont="1" applyBorder="1" applyAlignment="1">
      <alignment vertical="center"/>
    </xf>
    <xf numFmtId="3" fontId="0" fillId="0" borderId="38" xfId="0" applyNumberFormat="1" applyFont="1" applyBorder="1" applyAlignment="1">
      <alignment vertical="center"/>
    </xf>
    <xf numFmtId="0" fontId="35" fillId="0" borderId="54"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38" xfId="0" applyFont="1" applyBorder="1" applyAlignment="1">
      <alignment horizontal="center" vertical="center" wrapText="1"/>
    </xf>
    <xf numFmtId="0" fontId="36" fillId="0" borderId="36" xfId="0" applyFont="1" applyFill="1" applyBorder="1" applyAlignment="1">
      <alignment horizontal="left"/>
    </xf>
    <xf numFmtId="0" fontId="36" fillId="0" borderId="55" xfId="0" applyFont="1" applyFill="1" applyBorder="1" applyAlignment="1">
      <alignment horizontal="left"/>
    </xf>
    <xf numFmtId="0" fontId="0" fillId="0" borderId="39" xfId="0" applyFont="1" applyBorder="1" applyAlignment="1">
      <alignment vertical="center"/>
    </xf>
    <xf numFmtId="0" fontId="0" fillId="0" borderId="40" xfId="0" applyFont="1" applyBorder="1" applyAlignment="1">
      <alignment vertical="center"/>
    </xf>
    <xf numFmtId="0" fontId="0" fillId="0" borderId="0" xfId="0" applyFont="1" applyAlignment="1">
      <alignment vertical="center"/>
    </xf>
    <xf numFmtId="3" fontId="0" fillId="0" borderId="0" xfId="0" applyNumberFormat="1" applyFont="1" applyAlignment="1">
      <alignment/>
    </xf>
    <xf numFmtId="0" fontId="28" fillId="0" borderId="0" xfId="0" applyFont="1" applyAlignment="1">
      <alignment/>
    </xf>
    <xf numFmtId="0" fontId="39" fillId="0" borderId="0" xfId="0" applyFont="1" applyAlignment="1">
      <alignment/>
    </xf>
    <xf numFmtId="0" fontId="0" fillId="0" borderId="0" xfId="0" applyFont="1" applyBorder="1" applyAlignment="1">
      <alignment/>
    </xf>
    <xf numFmtId="3" fontId="0" fillId="0" borderId="56" xfId="0" applyNumberFormat="1" applyFont="1" applyBorder="1" applyAlignment="1">
      <alignment vertical="center"/>
    </xf>
    <xf numFmtId="0" fontId="36" fillId="0" borderId="0" xfId="0" applyFont="1" applyFill="1" applyBorder="1" applyAlignment="1">
      <alignment horizontal="left"/>
    </xf>
    <xf numFmtId="0" fontId="35" fillId="0" borderId="36" xfId="0" applyFont="1" applyFill="1" applyBorder="1" applyAlignment="1">
      <alignment horizontal="center" vertical="center" wrapText="1"/>
    </xf>
    <xf numFmtId="0" fontId="28" fillId="0" borderId="0" xfId="0" applyFont="1" applyBorder="1" applyAlignment="1">
      <alignment/>
    </xf>
    <xf numFmtId="0" fontId="28" fillId="0" borderId="36" xfId="0" applyFont="1" applyBorder="1" applyAlignment="1">
      <alignment/>
    </xf>
    <xf numFmtId="187" fontId="28" fillId="0" borderId="0" xfId="0" applyNumberFormat="1" applyFont="1" applyBorder="1" applyAlignment="1">
      <alignment/>
    </xf>
    <xf numFmtId="0" fontId="28" fillId="0" borderId="39" xfId="0" applyFont="1" applyBorder="1" applyAlignment="1">
      <alignment/>
    </xf>
    <xf numFmtId="0" fontId="21" fillId="0" borderId="0" xfId="0" applyFont="1" applyBorder="1" applyAlignment="1">
      <alignment vertical="center" wrapText="1"/>
    </xf>
    <xf numFmtId="0" fontId="28" fillId="0" borderId="38" xfId="0" applyFont="1" applyBorder="1" applyAlignment="1">
      <alignment/>
    </xf>
    <xf numFmtId="0" fontId="21" fillId="0" borderId="0" xfId="0" applyFont="1" applyAlignment="1">
      <alignment/>
    </xf>
    <xf numFmtId="0" fontId="28" fillId="0" borderId="36" xfId="0" applyFont="1" applyFill="1" applyBorder="1" applyAlignment="1">
      <alignment horizontal="left"/>
    </xf>
    <xf numFmtId="0" fontId="28" fillId="0" borderId="40" xfId="0" applyFont="1" applyBorder="1" applyAlignment="1">
      <alignment/>
    </xf>
    <xf numFmtId="0" fontId="28" fillId="0" borderId="0" xfId="0" applyFont="1" applyAlignment="1">
      <alignment vertical="center"/>
    </xf>
    <xf numFmtId="0" fontId="28" fillId="0" borderId="55" xfId="0" applyFont="1" applyBorder="1" applyAlignment="1">
      <alignment/>
    </xf>
    <xf numFmtId="0" fontId="42" fillId="0" borderId="0" xfId="0" applyFont="1" applyBorder="1" applyAlignment="1">
      <alignment/>
    </xf>
    <xf numFmtId="0" fontId="43" fillId="0" borderId="0" xfId="0" applyFont="1" applyAlignment="1">
      <alignment/>
    </xf>
    <xf numFmtId="0" fontId="95" fillId="0" borderId="57" xfId="0" applyNumberFormat="1" applyFont="1" applyFill="1" applyBorder="1" applyAlignment="1">
      <alignment vertical="center"/>
    </xf>
    <xf numFmtId="187" fontId="0" fillId="0" borderId="56" xfId="0" applyNumberFormat="1" applyFont="1" applyBorder="1" applyAlignment="1">
      <alignment horizontal="left" vertical="center"/>
    </xf>
    <xf numFmtId="0" fontId="0" fillId="0" borderId="58" xfId="0" applyFont="1" applyBorder="1" applyAlignment="1">
      <alignment vertical="center"/>
    </xf>
    <xf numFmtId="187" fontId="0" fillId="0" borderId="56" xfId="0" applyNumberFormat="1" applyFont="1" applyBorder="1" applyAlignment="1">
      <alignment vertical="center"/>
    </xf>
    <xf numFmtId="0" fontId="95" fillId="0" borderId="52" xfId="0" applyNumberFormat="1" applyFont="1" applyFill="1" applyBorder="1" applyAlignment="1">
      <alignment horizontal="right" vertical="center"/>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vertical="center"/>
    </xf>
    <xf numFmtId="3" fontId="40" fillId="0" borderId="0" xfId="0" applyNumberFormat="1"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vertical="center"/>
    </xf>
    <xf numFmtId="189" fontId="0" fillId="0" borderId="0" xfId="53" applyNumberFormat="1" applyAlignment="1">
      <alignment/>
    </xf>
    <xf numFmtId="0" fontId="5" fillId="0" borderId="0" xfId="0" applyFont="1" applyAlignment="1">
      <alignment/>
    </xf>
    <xf numFmtId="0" fontId="40" fillId="0" borderId="59" xfId="0" applyFont="1" applyFill="1" applyBorder="1" applyAlignment="1">
      <alignment horizontal="center" vertical="center" wrapText="1"/>
    </xf>
    <xf numFmtId="196" fontId="44" fillId="36" borderId="59" xfId="74" applyNumberFormat="1" applyFont="1" applyFill="1" applyBorder="1" applyAlignment="1">
      <alignment horizontal="center" vertical="center" wrapText="1"/>
    </xf>
    <xf numFmtId="0" fontId="40" fillId="37" borderId="59" xfId="0" applyFont="1" applyFill="1" applyBorder="1" applyAlignment="1">
      <alignment horizontal="center" vertical="center" wrapText="1"/>
    </xf>
    <xf numFmtId="196" fontId="5" fillId="0" borderId="60" xfId="74" applyNumberFormat="1" applyFont="1" applyFill="1" applyBorder="1" applyAlignment="1">
      <alignment vertical="center"/>
    </xf>
    <xf numFmtId="196" fontId="44" fillId="36" borderId="60" xfId="74" applyNumberFormat="1" applyFont="1" applyFill="1" applyBorder="1" applyAlignment="1">
      <alignment vertical="center"/>
    </xf>
    <xf numFmtId="196" fontId="96" fillId="36" borderId="60" xfId="74" applyNumberFormat="1" applyFont="1" applyFill="1" applyBorder="1" applyAlignment="1">
      <alignment vertical="center"/>
    </xf>
    <xf numFmtId="196" fontId="44" fillId="37" borderId="60" xfId="74" applyNumberFormat="1" applyFont="1" applyFill="1" applyBorder="1" applyAlignment="1">
      <alignment vertical="center"/>
    </xf>
    <xf numFmtId="196" fontId="5" fillId="37" borderId="60" xfId="74" applyNumberFormat="1" applyFont="1" applyFill="1" applyBorder="1" applyAlignment="1">
      <alignment vertical="center"/>
    </xf>
    <xf numFmtId="196" fontId="44" fillId="36" borderId="61" xfId="74" applyNumberFormat="1" applyFont="1" applyFill="1" applyBorder="1" applyAlignment="1">
      <alignment vertical="center"/>
    </xf>
    <xf numFmtId="196" fontId="5" fillId="0" borderId="0" xfId="74" applyNumberFormat="1" applyFont="1" applyFill="1" applyBorder="1" applyAlignment="1">
      <alignment vertical="center"/>
    </xf>
    <xf numFmtId="196" fontId="5" fillId="38" borderId="0" xfId="74" applyNumberFormat="1" applyFont="1" applyFill="1" applyBorder="1" applyAlignment="1">
      <alignment vertical="center"/>
    </xf>
    <xf numFmtId="0" fontId="5" fillId="3" borderId="33" xfId="0" applyFont="1" applyFill="1" applyBorder="1" applyAlignment="1">
      <alignment/>
    </xf>
    <xf numFmtId="0" fontId="40" fillId="3" borderId="34" xfId="0" applyFont="1" applyFill="1" applyBorder="1" applyAlignment="1">
      <alignment horizontal="center" vertical="center" wrapText="1"/>
    </xf>
    <xf numFmtId="0" fontId="5" fillId="3" borderId="34" xfId="0" applyFont="1" applyFill="1" applyBorder="1" applyAlignment="1">
      <alignment/>
    </xf>
    <xf numFmtId="0" fontId="5" fillId="3" borderId="35" xfId="0" applyFont="1" applyFill="1" applyBorder="1" applyAlignment="1">
      <alignment/>
    </xf>
    <xf numFmtId="0" fontId="5" fillId="3" borderId="62" xfId="0" applyFont="1" applyFill="1" applyBorder="1" applyAlignment="1">
      <alignment/>
    </xf>
    <xf numFmtId="0" fontId="40" fillId="3" borderId="63" xfId="0" applyFont="1" applyFill="1" applyBorder="1" applyAlignment="1">
      <alignment horizontal="center"/>
    </xf>
    <xf numFmtId="0" fontId="40" fillId="3" borderId="64" xfId="0" applyFont="1" applyFill="1" applyBorder="1" applyAlignment="1">
      <alignment horizontal="center" vertical="center" wrapText="1"/>
    </xf>
    <xf numFmtId="0" fontId="5" fillId="3" borderId="65" xfId="0" applyFont="1" applyFill="1" applyBorder="1" applyAlignment="1">
      <alignment/>
    </xf>
    <xf numFmtId="3" fontId="5" fillId="3" borderId="60" xfId="0" applyNumberFormat="1" applyFont="1" applyFill="1" applyBorder="1" applyAlignment="1">
      <alignment/>
    </xf>
    <xf numFmtId="0" fontId="5" fillId="3" borderId="60" xfId="0" applyFont="1" applyFill="1" applyBorder="1" applyAlignment="1">
      <alignment horizontal="center"/>
    </xf>
    <xf numFmtId="9" fontId="5" fillId="3" borderId="60" xfId="0" applyNumberFormat="1" applyFont="1" applyFill="1" applyBorder="1" applyAlignment="1">
      <alignment horizontal="center"/>
    </xf>
    <xf numFmtId="0" fontId="5" fillId="3" borderId="66" xfId="0" applyFont="1" applyFill="1" applyBorder="1" applyAlignment="1">
      <alignment/>
    </xf>
    <xf numFmtId="3" fontId="5" fillId="3" borderId="61" xfId="0" applyNumberFormat="1" applyFont="1" applyFill="1" applyBorder="1" applyAlignment="1">
      <alignment/>
    </xf>
    <xf numFmtId="0" fontId="5" fillId="3" borderId="61" xfId="0" applyFont="1" applyFill="1" applyBorder="1" applyAlignment="1">
      <alignment horizontal="center"/>
    </xf>
    <xf numFmtId="9" fontId="5" fillId="3" borderId="61" xfId="0" applyNumberFormat="1" applyFont="1" applyFill="1" applyBorder="1" applyAlignment="1">
      <alignment horizontal="center"/>
    </xf>
    <xf numFmtId="0" fontId="5" fillId="3" borderId="61" xfId="0" applyFont="1" applyFill="1" applyBorder="1" applyAlignment="1">
      <alignment horizontal="left"/>
    </xf>
    <xf numFmtId="0" fontId="5" fillId="3" borderId="61" xfId="0" applyFont="1" applyFill="1" applyBorder="1" applyAlignment="1">
      <alignment/>
    </xf>
    <xf numFmtId="0" fontId="5" fillId="3" borderId="67" xfId="0" applyFont="1" applyFill="1" applyBorder="1" applyAlignment="1">
      <alignment/>
    </xf>
    <xf numFmtId="0" fontId="5" fillId="3" borderId="68" xfId="0" applyFont="1" applyFill="1" applyBorder="1" applyAlignment="1">
      <alignment/>
    </xf>
    <xf numFmtId="3" fontId="5" fillId="3" borderId="59" xfId="0" applyNumberFormat="1" applyFont="1" applyFill="1" applyBorder="1" applyAlignment="1">
      <alignment/>
    </xf>
    <xf numFmtId="0" fontId="5" fillId="3" borderId="59" xfId="0" applyFont="1" applyFill="1" applyBorder="1" applyAlignment="1">
      <alignment horizontal="center"/>
    </xf>
    <xf numFmtId="9" fontId="5" fillId="3" borderId="59" xfId="0" applyNumberFormat="1" applyFont="1" applyFill="1" applyBorder="1" applyAlignment="1">
      <alignment horizontal="center"/>
    </xf>
    <xf numFmtId="0" fontId="5" fillId="3" borderId="59" xfId="0" applyFont="1" applyFill="1" applyBorder="1" applyAlignment="1">
      <alignment horizontal="left"/>
    </xf>
    <xf numFmtId="0" fontId="5" fillId="3" borderId="59" xfId="0" applyFont="1" applyFill="1" applyBorder="1" applyAlignment="1">
      <alignment/>
    </xf>
    <xf numFmtId="0" fontId="5" fillId="3" borderId="69" xfId="0" applyFont="1" applyFill="1" applyBorder="1" applyAlignment="1">
      <alignment/>
    </xf>
    <xf numFmtId="0" fontId="40" fillId="39" borderId="70" xfId="0" applyFont="1" applyFill="1" applyBorder="1" applyAlignment="1">
      <alignment horizontal="center"/>
    </xf>
    <xf numFmtId="0" fontId="40" fillId="39" borderId="71" xfId="0" applyFont="1" applyFill="1" applyBorder="1" applyAlignment="1">
      <alignment horizontal="center"/>
    </xf>
    <xf numFmtId="0" fontId="40" fillId="39" borderId="72" xfId="0" applyFont="1" applyFill="1" applyBorder="1" applyAlignment="1">
      <alignment horizontal="center"/>
    </xf>
    <xf numFmtId="3" fontId="46" fillId="39" borderId="73" xfId="0" applyNumberFormat="1" applyFont="1" applyFill="1" applyBorder="1" applyAlignment="1">
      <alignment/>
    </xf>
    <xf numFmtId="3" fontId="5" fillId="39" borderId="74" xfId="0" applyNumberFormat="1" applyFont="1" applyFill="1" applyBorder="1" applyAlignment="1">
      <alignment/>
    </xf>
    <xf numFmtId="3" fontId="5" fillId="39" borderId="69" xfId="0" applyNumberFormat="1" applyFont="1" applyFill="1" applyBorder="1" applyAlignment="1">
      <alignment/>
    </xf>
    <xf numFmtId="197" fontId="5" fillId="0" borderId="0" xfId="98" applyNumberFormat="1" applyFont="1" applyFill="1" applyBorder="1" applyAlignment="1">
      <alignment/>
    </xf>
    <xf numFmtId="0" fontId="97" fillId="40" borderId="70" xfId="0" applyFont="1" applyFill="1" applyBorder="1" applyAlignment="1">
      <alignment horizontal="center" vertical="center"/>
    </xf>
    <xf numFmtId="0" fontId="97" fillId="40" borderId="71" xfId="0" applyFont="1" applyFill="1" applyBorder="1" applyAlignment="1">
      <alignment horizontal="center" vertical="center"/>
    </xf>
    <xf numFmtId="0" fontId="97" fillId="40" borderId="71" xfId="0" applyFont="1" applyFill="1" applyBorder="1" applyAlignment="1">
      <alignment vertical="center"/>
    </xf>
    <xf numFmtId="195" fontId="98" fillId="0" borderId="66" xfId="0" applyNumberFormat="1" applyFont="1" applyFill="1" applyBorder="1" applyAlignment="1">
      <alignment/>
    </xf>
    <xf numFmtId="195" fontId="98" fillId="0" borderId="61" xfId="0" applyNumberFormat="1" applyFont="1" applyFill="1" applyBorder="1" applyAlignment="1">
      <alignment horizontal="center"/>
    </xf>
    <xf numFmtId="0" fontId="98" fillId="0" borderId="61" xfId="0" applyFont="1" applyFill="1" applyBorder="1" applyAlignment="1">
      <alignment/>
    </xf>
    <xf numFmtId="196" fontId="98" fillId="0" borderId="61" xfId="0" applyNumberFormat="1" applyFont="1" applyFill="1" applyBorder="1" applyAlignment="1">
      <alignment/>
    </xf>
    <xf numFmtId="195" fontId="98" fillId="0" borderId="61" xfId="53" applyNumberFormat="1" applyFont="1" applyFill="1" applyBorder="1" applyAlignment="1">
      <alignment/>
    </xf>
    <xf numFmtId="195" fontId="5" fillId="0" borderId="0" xfId="53" applyNumberFormat="1" applyFont="1" applyFill="1" applyBorder="1" applyAlignment="1">
      <alignment horizontal="center" vertical="center"/>
    </xf>
    <xf numFmtId="0" fontId="5" fillId="0" borderId="0" xfId="0" applyFont="1" applyFill="1" applyAlignment="1">
      <alignment horizontal="center" vertical="center" wrapText="1"/>
    </xf>
    <xf numFmtId="0" fontId="5" fillId="0" borderId="60" xfId="0" applyFont="1" applyFill="1" applyBorder="1" applyAlignment="1" applyProtection="1">
      <alignment horizontal="justify" vertical="center"/>
      <protection/>
    </xf>
    <xf numFmtId="49" fontId="5" fillId="0" borderId="60" xfId="0" applyNumberFormat="1" applyFont="1" applyFill="1" applyBorder="1" applyAlignment="1" applyProtection="1">
      <alignment horizontal="center" vertical="center"/>
      <protection/>
    </xf>
    <xf numFmtId="195" fontId="5" fillId="0" borderId="60" xfId="53" applyNumberFormat="1" applyFont="1" applyFill="1" applyBorder="1" applyAlignment="1" applyProtection="1">
      <alignment horizontal="center" vertical="center"/>
      <protection/>
    </xf>
    <xf numFmtId="196" fontId="5" fillId="0" borderId="60" xfId="74" applyNumberFormat="1" applyFont="1" applyFill="1" applyBorder="1" applyAlignment="1" applyProtection="1">
      <alignment horizontal="center" vertical="center"/>
      <protection/>
    </xf>
    <xf numFmtId="195" fontId="5" fillId="37" borderId="60" xfId="53" applyNumberFormat="1" applyFont="1" applyFill="1" applyBorder="1" applyAlignment="1" applyProtection="1">
      <alignment horizontal="center" vertical="center"/>
      <protection/>
    </xf>
    <xf numFmtId="1" fontId="5" fillId="0" borderId="60" xfId="0" applyNumberFormat="1" applyFont="1" applyFill="1" applyBorder="1" applyAlignment="1" applyProtection="1">
      <alignment horizontal="center" vertical="center"/>
      <protection/>
    </xf>
    <xf numFmtId="195" fontId="40" fillId="0" borderId="60" xfId="53" applyNumberFormat="1" applyFont="1" applyFill="1" applyBorder="1" applyAlignment="1" applyProtection="1">
      <alignment horizontal="center" vertical="center"/>
      <protection/>
    </xf>
    <xf numFmtId="195" fontId="5" fillId="0" borderId="60" xfId="53" applyNumberFormat="1" applyFont="1" applyFill="1" applyBorder="1" applyAlignment="1" applyProtection="1">
      <alignment vertical="center"/>
      <protection/>
    </xf>
    <xf numFmtId="0" fontId="5" fillId="0" borderId="61" xfId="0" applyFont="1" applyFill="1" applyBorder="1" applyAlignment="1" applyProtection="1">
      <alignment horizontal="justify" vertical="center"/>
      <protection/>
    </xf>
    <xf numFmtId="195" fontId="5" fillId="0" borderId="0" xfId="53" applyNumberFormat="1" applyFont="1" applyFill="1" applyBorder="1" applyAlignment="1" applyProtection="1">
      <alignment vertical="center"/>
      <protection/>
    </xf>
    <xf numFmtId="195" fontId="5" fillId="0" borderId="46" xfId="53" applyNumberFormat="1" applyFont="1" applyFill="1" applyBorder="1" applyAlignment="1" applyProtection="1">
      <alignment horizontal="center" vertical="center"/>
      <protection/>
    </xf>
    <xf numFmtId="0" fontId="5" fillId="0" borderId="47" xfId="0" applyFont="1" applyFill="1" applyBorder="1" applyAlignment="1" applyProtection="1">
      <alignment horizontal="justify" vertical="center"/>
      <protection/>
    </xf>
    <xf numFmtId="49" fontId="5" fillId="0" borderId="0" xfId="0" applyNumberFormat="1" applyFont="1" applyFill="1" applyBorder="1" applyAlignment="1" applyProtection="1">
      <alignment horizontal="center" vertical="center"/>
      <protection/>
    </xf>
    <xf numFmtId="195" fontId="5" fillId="0" borderId="0" xfId="53" applyNumberFormat="1" applyFont="1" applyFill="1" applyBorder="1" applyAlignment="1" applyProtection="1">
      <alignment horizontal="center" vertical="center"/>
      <protection/>
    </xf>
    <xf numFmtId="196" fontId="5" fillId="0" borderId="0" xfId="74" applyNumberFormat="1" applyFont="1" applyFill="1" applyBorder="1" applyAlignment="1" applyProtection="1">
      <alignment horizontal="center" vertical="center"/>
      <protection/>
    </xf>
    <xf numFmtId="1" fontId="5" fillId="0" borderId="0" xfId="0" applyNumberFormat="1" applyFont="1" applyFill="1" applyBorder="1" applyAlignment="1" applyProtection="1">
      <alignment horizontal="center" vertical="center"/>
      <protection/>
    </xf>
    <xf numFmtId="195" fontId="40" fillId="0" borderId="0" xfId="53" applyNumberFormat="1" applyFont="1" applyFill="1" applyBorder="1" applyAlignment="1" applyProtection="1">
      <alignment horizontal="center" vertical="center"/>
      <protection/>
    </xf>
    <xf numFmtId="195" fontId="5" fillId="38" borderId="0" xfId="53" applyNumberFormat="1" applyFont="1" applyFill="1" applyBorder="1" applyAlignment="1" applyProtection="1">
      <alignment vertical="center"/>
      <protection/>
    </xf>
    <xf numFmtId="195" fontId="5" fillId="38" borderId="46" xfId="53" applyNumberFormat="1" applyFont="1" applyFill="1" applyBorder="1" applyAlignment="1" applyProtection="1">
      <alignment vertical="center"/>
      <protection/>
    </xf>
    <xf numFmtId="0" fontId="5" fillId="38" borderId="47" xfId="0" applyFont="1" applyFill="1" applyBorder="1" applyAlignment="1" applyProtection="1">
      <alignment horizontal="justify" vertical="center"/>
      <protection/>
    </xf>
    <xf numFmtId="0" fontId="5" fillId="38" borderId="46" xfId="0" applyFont="1" applyFill="1" applyBorder="1" applyAlignment="1" applyProtection="1">
      <alignment horizontal="justify" vertical="center"/>
      <protection/>
    </xf>
    <xf numFmtId="49" fontId="5" fillId="38" borderId="0" xfId="0" applyNumberFormat="1" applyFont="1" applyFill="1" applyBorder="1" applyAlignment="1" applyProtection="1">
      <alignment horizontal="center" vertical="center"/>
      <protection/>
    </xf>
    <xf numFmtId="2" fontId="5" fillId="38" borderId="0" xfId="0" applyNumberFormat="1" applyFont="1" applyFill="1" applyBorder="1" applyAlignment="1" applyProtection="1">
      <alignment horizontal="center" vertical="center"/>
      <protection/>
    </xf>
    <xf numFmtId="179" fontId="40" fillId="38" borderId="0" xfId="74" applyNumberFormat="1" applyFont="1" applyFill="1" applyBorder="1" applyAlignment="1" applyProtection="1">
      <alignment horizontal="center" vertical="center"/>
      <protection/>
    </xf>
    <xf numFmtId="0" fontId="5" fillId="38" borderId="0" xfId="0" applyFont="1" applyFill="1" applyBorder="1" applyAlignment="1">
      <alignment vertical="center"/>
    </xf>
    <xf numFmtId="0" fontId="5" fillId="0" borderId="0" xfId="0" applyFont="1" applyFill="1" applyBorder="1" applyAlignment="1" applyProtection="1">
      <alignment horizontal="justify" vertical="center"/>
      <protection/>
    </xf>
    <xf numFmtId="2" fontId="5" fillId="0" borderId="0" xfId="0" applyNumberFormat="1" applyFont="1" applyFill="1" applyBorder="1" applyAlignment="1" applyProtection="1">
      <alignment horizontal="center" vertical="center"/>
      <protection/>
    </xf>
    <xf numFmtId="179" fontId="40" fillId="0" borderId="0" xfId="74" applyNumberFormat="1" applyFont="1" applyFill="1" applyBorder="1" applyAlignment="1" applyProtection="1">
      <alignment horizontal="center" vertical="center"/>
      <protection/>
    </xf>
    <xf numFmtId="195" fontId="5" fillId="0" borderId="0" xfId="53" applyNumberFormat="1" applyFont="1" applyFill="1" applyBorder="1" applyAlignment="1">
      <alignment vertical="center"/>
    </xf>
    <xf numFmtId="195" fontId="5" fillId="0" borderId="0" xfId="53" applyNumberFormat="1" applyFont="1" applyFill="1" applyAlignment="1">
      <alignment vertical="center"/>
    </xf>
    <xf numFmtId="49" fontId="5" fillId="39" borderId="62" xfId="0" applyNumberFormat="1" applyFont="1" applyFill="1" applyBorder="1" applyAlignment="1" applyProtection="1">
      <alignment horizontal="center" vertical="center"/>
      <protection/>
    </xf>
    <xf numFmtId="196" fontId="5" fillId="39" borderId="64" xfId="74" applyNumberFormat="1" applyFont="1" applyFill="1" applyBorder="1" applyAlignment="1" applyProtection="1">
      <alignment horizontal="center" vertical="center"/>
      <protection/>
    </xf>
    <xf numFmtId="49" fontId="97" fillId="40" borderId="71" xfId="0" applyNumberFormat="1" applyFont="1" applyFill="1" applyBorder="1" applyAlignment="1" applyProtection="1">
      <alignment horizontal="center" vertical="center" wrapText="1"/>
      <protection/>
    </xf>
    <xf numFmtId="49" fontId="97" fillId="40" borderId="72" xfId="0" applyNumberFormat="1" applyFont="1" applyFill="1" applyBorder="1" applyAlignment="1" applyProtection="1">
      <alignment horizontal="center" vertical="center" wrapText="1"/>
      <protection/>
    </xf>
    <xf numFmtId="195" fontId="5" fillId="0" borderId="0" xfId="0" applyNumberFormat="1" applyFont="1" applyFill="1" applyAlignment="1">
      <alignment vertical="center"/>
    </xf>
    <xf numFmtId="196" fontId="5" fillId="0" borderId="0" xfId="74" applyNumberFormat="1" applyFont="1" applyFill="1" applyAlignment="1">
      <alignment vertical="center"/>
    </xf>
    <xf numFmtId="0" fontId="5" fillId="0" borderId="0" xfId="0" applyFont="1" applyFill="1" applyAlignment="1">
      <alignment horizontal="justify" vertical="center"/>
    </xf>
    <xf numFmtId="177" fontId="5" fillId="0" borderId="0" xfId="53" applyNumberFormat="1" applyFont="1" applyFill="1" applyAlignment="1">
      <alignment vertical="center"/>
    </xf>
    <xf numFmtId="17" fontId="5" fillId="0" borderId="0" xfId="0" applyNumberFormat="1" applyFont="1" applyFill="1" applyAlignment="1">
      <alignment vertical="center"/>
    </xf>
    <xf numFmtId="195" fontId="5" fillId="0" borderId="0" xfId="53" applyNumberFormat="1" applyFont="1" applyFill="1" applyAlignment="1">
      <alignment horizontal="justify" vertical="center"/>
    </xf>
    <xf numFmtId="196" fontId="40" fillId="0" borderId="0" xfId="74" applyNumberFormat="1" applyFont="1" applyFill="1" applyAlignment="1">
      <alignment vertical="center"/>
    </xf>
    <xf numFmtId="9" fontId="5" fillId="0" borderId="0" xfId="0" applyNumberFormat="1" applyFont="1" applyFill="1" applyAlignment="1">
      <alignment horizontal="justify" vertical="center"/>
    </xf>
    <xf numFmtId="195" fontId="5" fillId="0" borderId="0" xfId="0" applyNumberFormat="1" applyFont="1" applyFill="1" applyAlignment="1">
      <alignment horizontal="justify" vertical="center"/>
    </xf>
    <xf numFmtId="196" fontId="5" fillId="0" borderId="0" xfId="0" applyNumberFormat="1" applyFont="1" applyFill="1" applyAlignment="1">
      <alignment vertical="center"/>
    </xf>
    <xf numFmtId="10" fontId="98" fillId="0" borderId="61" xfId="98" applyNumberFormat="1" applyFont="1" applyFill="1" applyBorder="1" applyAlignment="1">
      <alignment/>
    </xf>
    <xf numFmtId="0" fontId="0" fillId="0" borderId="0" xfId="84" applyFont="1" applyBorder="1">
      <alignment/>
      <protection/>
    </xf>
    <xf numFmtId="3" fontId="0" fillId="0" borderId="0" xfId="84" applyNumberFormat="1" applyFont="1" applyBorder="1">
      <alignment/>
      <protection/>
    </xf>
    <xf numFmtId="194" fontId="0" fillId="0" borderId="0" xfId="53" applyNumberFormat="1" applyFont="1" applyBorder="1" applyAlignment="1">
      <alignment/>
    </xf>
    <xf numFmtId="0" fontId="27" fillId="0" borderId="0" xfId="84" applyFont="1" applyBorder="1" applyAlignment="1">
      <alignment horizontal="right"/>
      <protection/>
    </xf>
    <xf numFmtId="3" fontId="22" fillId="0" borderId="25" xfId="84" applyNumberFormat="1" applyFont="1" applyBorder="1">
      <alignment/>
      <protection/>
    </xf>
    <xf numFmtId="0" fontId="27" fillId="0" borderId="0" xfId="84" applyFont="1" applyBorder="1">
      <alignment/>
      <protection/>
    </xf>
    <xf numFmtId="3" fontId="21" fillId="0" borderId="0" xfId="84" applyNumberFormat="1" applyFont="1" applyBorder="1">
      <alignment/>
      <protection/>
    </xf>
    <xf numFmtId="3" fontId="22" fillId="0" borderId="25" xfId="84" applyNumberFormat="1" applyFont="1" applyFill="1" applyBorder="1">
      <alignment/>
      <protection/>
    </xf>
    <xf numFmtId="196" fontId="5" fillId="0" borderId="49" xfId="74" applyNumberFormat="1" applyFont="1" applyFill="1" applyBorder="1" applyAlignment="1">
      <alignment vertical="center"/>
    </xf>
    <xf numFmtId="196" fontId="5" fillId="41" borderId="65" xfId="0" applyNumberFormat="1" applyFont="1" applyFill="1" applyBorder="1" applyAlignment="1">
      <alignment vertical="center"/>
    </xf>
    <xf numFmtId="0" fontId="5" fillId="37" borderId="71" xfId="0" applyFont="1" applyFill="1" applyBorder="1" applyAlignment="1">
      <alignment vertical="center"/>
    </xf>
    <xf numFmtId="0" fontId="5" fillId="0" borderId="71" xfId="0" applyFont="1" applyFill="1" applyBorder="1" applyAlignment="1">
      <alignment vertical="center"/>
    </xf>
    <xf numFmtId="0" fontId="40" fillId="40" borderId="59" xfId="0" applyFont="1" applyFill="1" applyBorder="1" applyAlignment="1">
      <alignment horizontal="center" vertical="center" wrapText="1"/>
    </xf>
    <xf numFmtId="0" fontId="40" fillId="36" borderId="59" xfId="0" applyFont="1" applyFill="1" applyBorder="1" applyAlignment="1">
      <alignment horizontal="center" vertical="center" wrapText="1"/>
    </xf>
    <xf numFmtId="0" fontId="45" fillId="37" borderId="59" xfId="0" applyFont="1" applyFill="1" applyBorder="1" applyAlignment="1">
      <alignment horizontal="center" vertical="center" wrapText="1"/>
    </xf>
    <xf numFmtId="0" fontId="45" fillId="36" borderId="59" xfId="0" applyFont="1" applyFill="1" applyBorder="1" applyAlignment="1">
      <alignment horizontal="center" vertical="center" wrapText="1"/>
    </xf>
    <xf numFmtId="0" fontId="0" fillId="0" borderId="36" xfId="84" applyFont="1" applyBorder="1">
      <alignment/>
      <protection/>
    </xf>
    <xf numFmtId="3" fontId="0" fillId="0" borderId="38" xfId="84" applyNumberFormat="1" applyFont="1" applyBorder="1">
      <alignment/>
      <protection/>
    </xf>
    <xf numFmtId="0" fontId="27" fillId="0" borderId="36" xfId="84" applyFont="1" applyBorder="1">
      <alignment/>
      <protection/>
    </xf>
    <xf numFmtId="0" fontId="0" fillId="0" borderId="38" xfId="84" applyFont="1" applyBorder="1">
      <alignment/>
      <protection/>
    </xf>
    <xf numFmtId="0" fontId="22" fillId="0" borderId="36" xfId="84" applyFont="1" applyBorder="1">
      <alignment/>
      <protection/>
    </xf>
    <xf numFmtId="0" fontId="0" fillId="0" borderId="55" xfId="84" applyFont="1" applyBorder="1">
      <alignment/>
      <protection/>
    </xf>
    <xf numFmtId="0" fontId="0" fillId="0" borderId="39" xfId="84" applyFont="1" applyBorder="1">
      <alignment/>
      <protection/>
    </xf>
    <xf numFmtId="0" fontId="0" fillId="0" borderId="40" xfId="84" applyFont="1" applyBorder="1">
      <alignment/>
      <protection/>
    </xf>
    <xf numFmtId="3" fontId="22" fillId="0" borderId="38" xfId="84" applyNumberFormat="1" applyFont="1" applyBorder="1">
      <alignment/>
      <protection/>
    </xf>
    <xf numFmtId="3" fontId="22" fillId="0" borderId="38" xfId="84" applyNumberFormat="1" applyFont="1" applyFill="1" applyBorder="1">
      <alignment/>
      <protection/>
    </xf>
    <xf numFmtId="3" fontId="21" fillId="0" borderId="38" xfId="84" applyNumberFormat="1" applyFont="1" applyBorder="1">
      <alignment/>
      <protection/>
    </xf>
    <xf numFmtId="0" fontId="27" fillId="0" borderId="0" xfId="0" applyFont="1" applyAlignment="1">
      <alignment vertical="center"/>
    </xf>
    <xf numFmtId="3" fontId="0" fillId="0" borderId="39" xfId="0" applyNumberFormat="1" applyFont="1" applyBorder="1" applyAlignment="1">
      <alignment vertical="center"/>
    </xf>
    <xf numFmtId="1" fontId="98" fillId="0" borderId="67" xfId="0" applyNumberFormat="1" applyFont="1" applyFill="1" applyBorder="1" applyAlignment="1">
      <alignment horizontal="center" vertical="center"/>
    </xf>
    <xf numFmtId="0" fontId="95" fillId="0" borderId="0" xfId="0" applyNumberFormat="1" applyFont="1" applyFill="1" applyBorder="1" applyAlignment="1">
      <alignment horizontal="right" vertical="center"/>
    </xf>
    <xf numFmtId="0" fontId="95" fillId="0" borderId="0" xfId="0" applyNumberFormat="1" applyFont="1" applyFill="1" applyBorder="1" applyAlignment="1">
      <alignment vertical="center" wrapText="1"/>
    </xf>
    <xf numFmtId="3" fontId="0" fillId="0" borderId="67" xfId="0" applyNumberFormat="1" applyFont="1" applyBorder="1" applyAlignment="1">
      <alignment vertical="center"/>
    </xf>
    <xf numFmtId="0" fontId="42" fillId="42" borderId="75" xfId="0" applyFont="1" applyFill="1" applyBorder="1" applyAlignment="1">
      <alignment horizontal="center" vertical="center" wrapText="1" shrinkToFit="1"/>
    </xf>
    <xf numFmtId="0" fontId="42" fillId="42" borderId="76" xfId="0" applyFont="1" applyFill="1" applyBorder="1" applyAlignment="1">
      <alignment horizontal="center" vertical="center" wrapText="1" shrinkToFit="1"/>
    </xf>
    <xf numFmtId="0" fontId="21" fillId="42" borderId="75" xfId="0" applyFont="1" applyFill="1" applyBorder="1" applyAlignment="1">
      <alignment/>
    </xf>
    <xf numFmtId="0" fontId="21" fillId="42" borderId="76" xfId="0" applyFont="1" applyFill="1" applyBorder="1" applyAlignment="1">
      <alignment/>
    </xf>
    <xf numFmtId="187" fontId="21" fillId="42" borderId="75" xfId="0" applyNumberFormat="1" applyFont="1" applyFill="1" applyBorder="1" applyAlignment="1">
      <alignment/>
    </xf>
    <xf numFmtId="187" fontId="21" fillId="42" borderId="76" xfId="0" applyNumberFormat="1" applyFont="1" applyFill="1" applyBorder="1" applyAlignment="1">
      <alignment/>
    </xf>
    <xf numFmtId="196" fontId="44" fillId="0" borderId="0" xfId="74" applyNumberFormat="1" applyFont="1" applyFill="1" applyBorder="1" applyAlignment="1">
      <alignment vertical="center"/>
    </xf>
    <xf numFmtId="196" fontId="96" fillId="0" borderId="0" xfId="74" applyNumberFormat="1" applyFont="1" applyFill="1" applyBorder="1" applyAlignment="1">
      <alignment vertical="center"/>
    </xf>
    <xf numFmtId="196" fontId="5" fillId="0" borderId="0" xfId="0" applyNumberFormat="1" applyFont="1" applyFill="1" applyBorder="1" applyAlignment="1">
      <alignment vertical="center"/>
    </xf>
    <xf numFmtId="0" fontId="27" fillId="0" borderId="42" xfId="84" applyFont="1" applyBorder="1" applyAlignment="1">
      <alignment horizontal="center" vertical="center" wrapText="1"/>
      <protection/>
    </xf>
    <xf numFmtId="0" fontId="27" fillId="0" borderId="77" xfId="84" applyFont="1" applyBorder="1" applyAlignment="1">
      <alignment horizontal="center" vertical="center"/>
      <protection/>
    </xf>
    <xf numFmtId="3" fontId="22" fillId="0" borderId="78" xfId="84" applyNumberFormat="1" applyFont="1" applyFill="1" applyBorder="1">
      <alignment/>
      <protection/>
    </xf>
    <xf numFmtId="189" fontId="0" fillId="0" borderId="0" xfId="53" applyNumberFormat="1" applyBorder="1" applyAlignment="1">
      <alignment/>
    </xf>
    <xf numFmtId="3" fontId="22" fillId="0" borderId="79" xfId="84" applyNumberFormat="1" applyFont="1" applyBorder="1">
      <alignment/>
      <protection/>
    </xf>
    <xf numFmtId="3" fontId="0" fillId="0" borderId="61" xfId="0" applyNumberFormat="1" applyBorder="1" applyAlignment="1">
      <alignment horizontal="left" vertical="center" wrapText="1" shrinkToFit="1"/>
    </xf>
    <xf numFmtId="14" fontId="0" fillId="0" borderId="61" xfId="0" applyNumberFormat="1" applyFont="1" applyFill="1" applyBorder="1" applyAlignment="1">
      <alignment horizontal="center" vertical="center" wrapText="1" shrinkToFit="1"/>
    </xf>
    <xf numFmtId="3" fontId="0" fillId="0" borderId="61" xfId="0" applyNumberFormat="1" applyFont="1" applyBorder="1" applyAlignment="1">
      <alignment horizontal="right" vertical="center" wrapText="1" shrinkToFit="1"/>
    </xf>
    <xf numFmtId="3" fontId="27" fillId="0" borderId="61" xfId="0" applyNumberFormat="1" applyFont="1" applyBorder="1" applyAlignment="1">
      <alignment vertical="center"/>
    </xf>
    <xf numFmtId="9" fontId="0" fillId="0" borderId="61" xfId="89" applyFont="1" applyBorder="1" applyAlignment="1">
      <alignment horizontal="center" vertical="center"/>
    </xf>
    <xf numFmtId="3" fontId="0" fillId="0" borderId="70" xfId="0" applyNumberFormat="1" applyFont="1" applyFill="1" applyBorder="1" applyAlignment="1">
      <alignment horizontal="left" vertical="center" wrapText="1" shrinkToFit="1"/>
    </xf>
    <xf numFmtId="3" fontId="0" fillId="0" borderId="71" xfId="0" applyNumberFormat="1" applyBorder="1" applyAlignment="1">
      <alignment horizontal="left" vertical="center" wrapText="1" shrinkToFit="1"/>
    </xf>
    <xf numFmtId="14" fontId="0" fillId="0" borderId="71" xfId="0" applyNumberFormat="1" applyFont="1" applyFill="1" applyBorder="1" applyAlignment="1">
      <alignment horizontal="center" vertical="center" wrapText="1" shrinkToFit="1"/>
    </xf>
    <xf numFmtId="3" fontId="0" fillId="0" borderId="71" xfId="0" applyNumberFormat="1" applyFont="1" applyBorder="1" applyAlignment="1">
      <alignment horizontal="right" vertical="center" wrapText="1" shrinkToFit="1"/>
    </xf>
    <xf numFmtId="3" fontId="27" fillId="0" borderId="71" xfId="0" applyNumberFormat="1" applyFont="1" applyBorder="1" applyAlignment="1">
      <alignment vertical="center"/>
    </xf>
    <xf numFmtId="9" fontId="0" fillId="0" borderId="71" xfId="89" applyFont="1" applyBorder="1" applyAlignment="1">
      <alignment horizontal="center" vertical="center"/>
    </xf>
    <xf numFmtId="3" fontId="0" fillId="0" borderId="72" xfId="0" applyNumberFormat="1" applyFont="1" applyBorder="1" applyAlignment="1">
      <alignment vertical="center"/>
    </xf>
    <xf numFmtId="3" fontId="0" fillId="0" borderId="66" xfId="0" applyNumberFormat="1" applyFont="1" applyFill="1" applyBorder="1" applyAlignment="1">
      <alignment horizontal="left" vertical="center" wrapText="1" shrinkToFit="1"/>
    </xf>
    <xf numFmtId="189" fontId="28" fillId="0" borderId="0" xfId="0" applyNumberFormat="1" applyFont="1" applyBorder="1" applyAlignment="1">
      <alignment/>
    </xf>
    <xf numFmtId="198" fontId="95" fillId="0" borderId="52" xfId="0" applyNumberFormat="1" applyFont="1" applyFill="1" applyBorder="1" applyAlignment="1">
      <alignment horizontal="center" vertical="center"/>
    </xf>
    <xf numFmtId="194" fontId="0" fillId="0" borderId="0" xfId="84" applyNumberFormat="1" applyFont="1" applyBorder="1">
      <alignment/>
      <protection/>
    </xf>
    <xf numFmtId="3" fontId="0" fillId="0" borderId="0" xfId="84" applyNumberFormat="1" applyFont="1" applyFill="1" applyBorder="1">
      <alignment/>
      <protection/>
    </xf>
    <xf numFmtId="194" fontId="95" fillId="0" borderId="0" xfId="53" applyNumberFormat="1" applyFont="1" applyFill="1" applyBorder="1" applyAlignment="1">
      <alignment/>
    </xf>
    <xf numFmtId="195" fontId="5" fillId="0" borderId="0" xfId="0" applyNumberFormat="1" applyFont="1" applyFill="1" applyBorder="1" applyAlignment="1">
      <alignment/>
    </xf>
    <xf numFmtId="195" fontId="5" fillId="39" borderId="60" xfId="53" applyNumberFormat="1" applyFont="1" applyFill="1" applyBorder="1" applyAlignment="1" applyProtection="1">
      <alignment horizontal="center" vertical="center"/>
      <protection/>
    </xf>
    <xf numFmtId="0" fontId="27" fillId="43" borderId="80" xfId="0" applyFont="1" applyFill="1" applyBorder="1" applyAlignment="1">
      <alignment vertical="center"/>
    </xf>
    <xf numFmtId="3" fontId="0" fillId="43" borderId="75" xfId="0" applyNumberFormat="1" applyFont="1" applyFill="1" applyBorder="1" applyAlignment="1">
      <alignment vertical="center"/>
    </xf>
    <xf numFmtId="3" fontId="0" fillId="43" borderId="76" xfId="0" applyNumberFormat="1" applyFont="1" applyFill="1" applyBorder="1" applyAlignment="1">
      <alignment vertical="center"/>
    </xf>
    <xf numFmtId="3" fontId="27" fillId="43" borderId="75" xfId="0" applyNumberFormat="1" applyFont="1" applyFill="1" applyBorder="1" applyAlignment="1">
      <alignment vertical="center"/>
    </xf>
    <xf numFmtId="3" fontId="27" fillId="43" borderId="76" xfId="0" applyNumberFormat="1" applyFont="1" applyFill="1" applyBorder="1" applyAlignment="1">
      <alignment vertical="center"/>
    </xf>
    <xf numFmtId="3" fontId="27" fillId="43" borderId="81" xfId="0" applyNumberFormat="1" applyFont="1" applyFill="1" applyBorder="1" applyAlignment="1">
      <alignment vertical="center"/>
    </xf>
    <xf numFmtId="0" fontId="27" fillId="43" borderId="80" xfId="0" applyFont="1" applyFill="1" applyBorder="1" applyAlignment="1">
      <alignment horizontal="center" vertical="center" wrapText="1" shrinkToFit="1"/>
    </xf>
    <xf numFmtId="0" fontId="27" fillId="43" borderId="75" xfId="0" applyFont="1" applyFill="1" applyBorder="1" applyAlignment="1">
      <alignment horizontal="center" vertical="center" wrapText="1" shrinkToFit="1"/>
    </xf>
    <xf numFmtId="0" fontId="27" fillId="43" borderId="76" xfId="0" applyFont="1" applyFill="1" applyBorder="1" applyAlignment="1">
      <alignment horizontal="center" vertical="center" wrapText="1" shrinkToFit="1"/>
    </xf>
    <xf numFmtId="0" fontId="27" fillId="43" borderId="81" xfId="0" applyFont="1" applyFill="1" applyBorder="1" applyAlignment="1">
      <alignment horizontal="center" vertical="center" wrapText="1" shrinkToFit="1"/>
    </xf>
    <xf numFmtId="0" fontId="98" fillId="44" borderId="61" xfId="0" applyFont="1" applyFill="1" applyBorder="1" applyAlignment="1">
      <alignment/>
    </xf>
    <xf numFmtId="189" fontId="0" fillId="0" borderId="0" xfId="53" applyNumberFormat="1" applyFill="1" applyAlignment="1">
      <alignment vertical="center"/>
    </xf>
    <xf numFmtId="0" fontId="95" fillId="0" borderId="36" xfId="84" applyFont="1" applyBorder="1">
      <alignment/>
      <protection/>
    </xf>
    <xf numFmtId="0" fontId="0" fillId="0" borderId="36" xfId="84" applyFont="1" applyFill="1" applyBorder="1">
      <alignment/>
      <protection/>
    </xf>
    <xf numFmtId="0" fontId="97" fillId="40" borderId="71" xfId="0" applyFont="1" applyFill="1" applyBorder="1" applyAlignment="1">
      <alignment horizontal="center" vertical="center" wrapText="1"/>
    </xf>
    <xf numFmtId="0" fontId="99" fillId="0" borderId="0" xfId="0" applyFont="1" applyFill="1" applyAlignment="1">
      <alignment/>
    </xf>
    <xf numFmtId="0" fontId="51" fillId="0" borderId="0" xfId="0" applyFont="1" applyFill="1" applyAlignment="1">
      <alignment/>
    </xf>
    <xf numFmtId="49" fontId="52" fillId="42" borderId="61" xfId="0" applyNumberFormat="1" applyFont="1" applyFill="1" applyBorder="1" applyAlignment="1">
      <alignment horizontal="center" vertical="center" wrapText="1"/>
    </xf>
    <xf numFmtId="0" fontId="100" fillId="45" borderId="0" xfId="0" applyFont="1" applyFill="1" applyAlignment="1">
      <alignment/>
    </xf>
    <xf numFmtId="0" fontId="51" fillId="0" borderId="61" xfId="0" applyFont="1" applyFill="1" applyBorder="1" applyAlignment="1">
      <alignment horizontal="center" vertical="center"/>
    </xf>
    <xf numFmtId="0" fontId="52" fillId="0" borderId="61" xfId="0" applyFont="1" applyFill="1" applyBorder="1" applyAlignment="1">
      <alignment horizontal="center" vertical="center" wrapText="1"/>
    </xf>
    <xf numFmtId="202" fontId="51" fillId="45" borderId="61" xfId="0" applyNumberFormat="1" applyFont="1" applyFill="1" applyBorder="1" applyAlignment="1">
      <alignment horizontal="center" vertical="center" wrapText="1"/>
    </xf>
    <xf numFmtId="49" fontId="51" fillId="0" borderId="61" xfId="0" applyNumberFormat="1" applyFont="1" applyBorder="1" applyAlignment="1">
      <alignment vertical="center" wrapText="1"/>
    </xf>
    <xf numFmtId="49" fontId="51" fillId="0" borderId="61" xfId="0" applyNumberFormat="1" applyFont="1" applyBorder="1" applyAlignment="1">
      <alignment horizontal="center" vertical="center" wrapText="1"/>
    </xf>
    <xf numFmtId="0" fontId="51" fillId="0" borderId="61" xfId="0" applyFont="1" applyBorder="1" applyAlignment="1">
      <alignment horizontal="center" vertical="center" wrapText="1"/>
    </xf>
    <xf numFmtId="0" fontId="51" fillId="0" borderId="61" xfId="0" applyFont="1" applyFill="1" applyBorder="1" applyAlignment="1">
      <alignment horizontal="center" vertical="center" wrapText="1"/>
    </xf>
    <xf numFmtId="0" fontId="53" fillId="0" borderId="61" xfId="49" applyFont="1" applyFill="1" applyBorder="1" applyAlignment="1" applyProtection="1">
      <alignment horizontal="center" vertical="center"/>
      <protection/>
    </xf>
    <xf numFmtId="0" fontId="51" fillId="0" borderId="61" xfId="0" applyFont="1" applyBorder="1" applyAlignment="1">
      <alignment horizontal="center" vertical="center"/>
    </xf>
    <xf numFmtId="203" fontId="51" fillId="0" borderId="61" xfId="87" applyNumberFormat="1" applyFont="1" applyFill="1" applyBorder="1" applyAlignment="1" applyProtection="1">
      <alignment horizontal="center" vertical="center" wrapText="1"/>
      <protection locked="0"/>
    </xf>
    <xf numFmtId="0" fontId="51" fillId="0" borderId="61" xfId="0" applyFont="1" applyFill="1" applyBorder="1" applyAlignment="1" applyProtection="1">
      <alignment horizontal="center" vertical="center" wrapText="1"/>
      <protection locked="0"/>
    </xf>
    <xf numFmtId="193" fontId="51" fillId="45" borderId="61" xfId="74" applyNumberFormat="1" applyFont="1" applyFill="1" applyBorder="1" applyAlignment="1">
      <alignment horizontal="center" vertical="center" wrapText="1"/>
    </xf>
    <xf numFmtId="0" fontId="51" fillId="0" borderId="61" xfId="49" applyFont="1" applyBorder="1" applyAlignment="1" applyProtection="1">
      <alignment wrapText="1"/>
      <protection/>
    </xf>
    <xf numFmtId="0" fontId="52" fillId="0" borderId="0" xfId="0" applyFont="1" applyFill="1" applyAlignment="1">
      <alignment/>
    </xf>
    <xf numFmtId="0" fontId="52" fillId="45" borderId="61" xfId="0" applyFont="1" applyFill="1" applyBorder="1" applyAlignment="1">
      <alignment horizontal="center" vertical="center" wrapText="1"/>
    </xf>
    <xf numFmtId="49" fontId="51" fillId="0" borderId="61" xfId="0" applyNumberFormat="1" applyFont="1" applyFill="1" applyBorder="1" applyAlignment="1">
      <alignment vertical="center" wrapText="1"/>
    </xf>
    <xf numFmtId="0" fontId="51" fillId="45" borderId="61" xfId="49" applyFont="1" applyFill="1" applyBorder="1" applyAlignment="1" applyProtection="1">
      <alignment horizontal="center" vertical="center"/>
      <protection/>
    </xf>
    <xf numFmtId="0" fontId="99" fillId="0" borderId="61" xfId="0" applyFont="1" applyFill="1" applyBorder="1" applyAlignment="1">
      <alignment wrapText="1"/>
    </xf>
    <xf numFmtId="49" fontId="51" fillId="42" borderId="61" xfId="0" applyNumberFormat="1" applyFont="1" applyFill="1" applyBorder="1" applyAlignment="1">
      <alignment vertical="center" wrapText="1"/>
    </xf>
    <xf numFmtId="49" fontId="51" fillId="42" borderId="61" xfId="0" applyNumberFormat="1" applyFont="1" applyFill="1" applyBorder="1" applyAlignment="1">
      <alignment horizontal="center" vertical="center" wrapText="1"/>
    </xf>
    <xf numFmtId="0" fontId="51" fillId="42" borderId="61" xfId="0" applyFont="1" applyFill="1" applyBorder="1" applyAlignment="1">
      <alignment horizontal="center" vertical="center" wrapText="1"/>
    </xf>
    <xf numFmtId="0" fontId="53" fillId="45" borderId="61" xfId="49" applyFont="1" applyFill="1" applyBorder="1" applyAlignment="1" applyProtection="1">
      <alignment horizontal="center" vertical="center"/>
      <protection/>
    </xf>
    <xf numFmtId="0" fontId="51" fillId="42" borderId="61" xfId="49" applyFont="1" applyFill="1" applyBorder="1" applyAlignment="1" applyProtection="1">
      <alignment horizontal="center" vertical="center"/>
      <protection/>
    </xf>
    <xf numFmtId="193" fontId="51" fillId="42" borderId="61" xfId="74" applyNumberFormat="1" applyFont="1" applyFill="1" applyBorder="1" applyAlignment="1">
      <alignment horizontal="center" vertical="center" wrapText="1"/>
    </xf>
    <xf numFmtId="202" fontId="51" fillId="0" borderId="61" xfId="0" applyNumberFormat="1" applyFont="1" applyFill="1" applyBorder="1" applyAlignment="1">
      <alignment horizontal="center" vertical="center" wrapText="1"/>
    </xf>
    <xf numFmtId="49" fontId="51" fillId="0" borderId="61" xfId="0" applyNumberFormat="1" applyFont="1" applyFill="1" applyBorder="1" applyAlignment="1">
      <alignment horizontal="center" vertical="center" wrapText="1"/>
    </xf>
    <xf numFmtId="0" fontId="51" fillId="0" borderId="61" xfId="49" applyFont="1" applyFill="1" applyBorder="1" applyAlignment="1" applyProtection="1">
      <alignment horizontal="center" vertical="center"/>
      <protection/>
    </xf>
    <xf numFmtId="0" fontId="51" fillId="0" borderId="61" xfId="49" applyFont="1" applyFill="1" applyBorder="1" applyAlignment="1" applyProtection="1">
      <alignment wrapText="1"/>
      <protection/>
    </xf>
    <xf numFmtId="0" fontId="99" fillId="0" borderId="61" xfId="0" applyFont="1" applyFill="1" applyBorder="1" applyAlignment="1">
      <alignment horizontal="center" vertical="center"/>
    </xf>
    <xf numFmtId="0" fontId="99" fillId="0" borderId="61" xfId="0" applyFont="1" applyFill="1" applyBorder="1" applyAlignment="1">
      <alignment vertical="center" wrapText="1"/>
    </xf>
    <xf numFmtId="0" fontId="53" fillId="0" borderId="61" xfId="49" applyFont="1" applyBorder="1" applyAlignment="1" applyProtection="1">
      <alignment horizontal="center" vertical="center"/>
      <protection/>
    </xf>
    <xf numFmtId="49" fontId="51" fillId="45" borderId="61" xfId="0" applyNumberFormat="1" applyFont="1" applyFill="1" applyBorder="1" applyAlignment="1">
      <alignment vertical="center" wrapText="1"/>
    </xf>
    <xf numFmtId="0" fontId="51" fillId="42" borderId="0" xfId="0" applyFont="1" applyFill="1" applyAlignment="1">
      <alignment/>
    </xf>
    <xf numFmtId="0" fontId="51" fillId="45" borderId="61" xfId="49" applyFont="1" applyFill="1" applyBorder="1" applyAlignment="1" applyProtection="1">
      <alignment wrapText="1"/>
      <protection/>
    </xf>
    <xf numFmtId="0" fontId="51" fillId="0" borderId="61" xfId="84" applyFont="1" applyFill="1" applyBorder="1" applyAlignment="1" applyProtection="1">
      <alignment horizontal="center" vertical="center" wrapText="1"/>
      <protection locked="0"/>
    </xf>
    <xf numFmtId="0" fontId="51" fillId="45" borderId="61" xfId="0" applyFont="1" applyFill="1" applyBorder="1" applyAlignment="1">
      <alignment horizontal="center" vertical="center" wrapText="1"/>
    </xf>
    <xf numFmtId="0" fontId="99" fillId="45" borderId="61" xfId="0" applyFont="1" applyFill="1" applyBorder="1" applyAlignment="1">
      <alignment vertical="center" wrapText="1"/>
    </xf>
    <xf numFmtId="0" fontId="100" fillId="0" borderId="0" xfId="0" applyFont="1" applyFill="1" applyAlignment="1">
      <alignment/>
    </xf>
    <xf numFmtId="3" fontId="51" fillId="0" borderId="61" xfId="84" applyNumberFormat="1" applyFont="1" applyFill="1" applyBorder="1" applyAlignment="1" applyProtection="1">
      <alignment horizontal="center" vertical="center" wrapText="1"/>
      <protection locked="0"/>
    </xf>
    <xf numFmtId="0" fontId="53" fillId="0" borderId="61" xfId="49" applyFont="1" applyFill="1" applyBorder="1" applyAlignment="1" applyProtection="1">
      <alignment horizontal="center" vertical="center" wrapText="1"/>
      <protection/>
    </xf>
    <xf numFmtId="0" fontId="99" fillId="45" borderId="61" xfId="0" applyFont="1" applyFill="1" applyBorder="1" applyAlignment="1">
      <alignment horizontal="center" vertical="center"/>
    </xf>
    <xf numFmtId="0" fontId="100" fillId="0" borderId="0" xfId="0" applyFont="1" applyFill="1" applyBorder="1" applyAlignment="1">
      <alignment/>
    </xf>
    <xf numFmtId="0" fontId="51" fillId="0" borderId="61" xfId="49" applyFont="1" applyBorder="1" applyAlignment="1" applyProtection="1">
      <alignment vertical="center" wrapText="1"/>
      <protection/>
    </xf>
    <xf numFmtId="49" fontId="51" fillId="0" borderId="61" xfId="0" applyNumberFormat="1" applyFont="1" applyFill="1" applyBorder="1" applyAlignment="1">
      <alignment horizontal="left" vertical="center" wrapText="1"/>
    </xf>
    <xf numFmtId="0" fontId="51" fillId="42" borderId="61" xfId="49" applyFont="1" applyFill="1" applyBorder="1" applyAlignment="1" applyProtection="1">
      <alignment vertical="center" wrapText="1"/>
      <protection/>
    </xf>
    <xf numFmtId="0" fontId="99" fillId="0" borderId="0" xfId="0" applyFont="1" applyFill="1" applyAlignment="1">
      <alignment horizontal="center" vertical="center"/>
    </xf>
    <xf numFmtId="0" fontId="51" fillId="0" borderId="0" xfId="0" applyFont="1" applyFill="1" applyAlignment="1">
      <alignment horizontal="center"/>
    </xf>
    <xf numFmtId="0" fontId="99" fillId="0" borderId="0" xfId="0" applyFont="1" applyFill="1" applyAlignment="1">
      <alignment vertical="center"/>
    </xf>
    <xf numFmtId="0" fontId="100" fillId="0" borderId="0" xfId="0" applyFont="1" applyFill="1" applyAlignment="1">
      <alignment vertical="center"/>
    </xf>
    <xf numFmtId="193" fontId="51" fillId="0" borderId="61" xfId="74" applyNumberFormat="1" applyFont="1" applyFill="1" applyBorder="1" applyAlignment="1">
      <alignment horizontal="center" vertical="center" wrapText="1"/>
    </xf>
    <xf numFmtId="0" fontId="52" fillId="42" borderId="61" xfId="0" applyFont="1" applyFill="1" applyBorder="1" applyAlignment="1">
      <alignment horizontal="center" vertical="center" wrapText="1"/>
    </xf>
    <xf numFmtId="0" fontId="100" fillId="0" borderId="0" xfId="0" applyFont="1" applyFill="1" applyAlignment="1">
      <alignment horizontal="left" vertical="center"/>
    </xf>
    <xf numFmtId="0" fontId="100" fillId="42" borderId="61" xfId="0" applyFont="1" applyFill="1" applyBorder="1" applyAlignment="1">
      <alignment horizontal="center" vertical="center" wrapText="1"/>
    </xf>
    <xf numFmtId="202" fontId="52" fillId="42" borderId="74" xfId="0" applyNumberFormat="1" applyFont="1" applyFill="1" applyBorder="1" applyAlignment="1">
      <alignment horizontal="center" vertical="center" wrapText="1"/>
    </xf>
    <xf numFmtId="202" fontId="52" fillId="42" borderId="60" xfId="0" applyNumberFormat="1" applyFont="1" applyFill="1" applyBorder="1" applyAlignment="1">
      <alignment horizontal="center" vertical="center" wrapText="1"/>
    </xf>
    <xf numFmtId="49" fontId="52" fillId="42" borderId="61" xfId="0" applyNumberFormat="1" applyFont="1" applyFill="1" applyBorder="1" applyAlignment="1">
      <alignment horizontal="center" vertical="center" wrapText="1"/>
    </xf>
    <xf numFmtId="202" fontId="52" fillId="42" borderId="61" xfId="0" applyNumberFormat="1" applyFont="1" applyFill="1" applyBorder="1" applyAlignment="1">
      <alignment horizontal="center" vertical="center" wrapText="1"/>
    </xf>
    <xf numFmtId="0" fontId="52" fillId="42" borderId="74" xfId="0" applyFont="1" applyFill="1" applyBorder="1" applyAlignment="1">
      <alignment horizontal="center" vertical="center" wrapText="1"/>
    </xf>
    <xf numFmtId="0" fontId="52" fillId="42" borderId="6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99" fillId="0" borderId="0" xfId="0" applyFont="1" applyFill="1" applyAlignment="1">
      <alignment horizontal="center" vertical="center"/>
    </xf>
    <xf numFmtId="0" fontId="99" fillId="0" borderId="42" xfId="0" applyFont="1" applyFill="1" applyBorder="1" applyAlignment="1">
      <alignment horizontal="center" vertical="center"/>
    </xf>
    <xf numFmtId="0" fontId="101" fillId="0" borderId="58" xfId="0" applyFont="1" applyFill="1" applyBorder="1" applyAlignment="1">
      <alignment horizontal="left" vertical="center"/>
    </xf>
    <xf numFmtId="0" fontId="4" fillId="0" borderId="21" xfId="0" applyFont="1" applyBorder="1" applyAlignment="1">
      <alignment horizontal="center" vertical="center" wrapText="1"/>
    </xf>
    <xf numFmtId="0" fontId="13" fillId="0" borderId="80" xfId="0" applyFont="1" applyFill="1" applyBorder="1" applyAlignment="1">
      <alignment horizontal="center" vertical="justify"/>
    </xf>
    <xf numFmtId="0" fontId="13" fillId="0" borderId="76" xfId="0" applyFont="1" applyFill="1" applyBorder="1" applyAlignment="1">
      <alignment horizontal="center" vertical="justify"/>
    </xf>
    <xf numFmtId="0" fontId="13" fillId="0" borderId="81" xfId="0" applyFont="1" applyFill="1" applyBorder="1" applyAlignment="1">
      <alignment horizontal="center" vertical="justify"/>
    </xf>
    <xf numFmtId="0" fontId="20" fillId="0" borderId="0" xfId="0" applyFont="1" applyFill="1" applyBorder="1" applyAlignment="1">
      <alignment horizontal="center"/>
    </xf>
    <xf numFmtId="0" fontId="23" fillId="0" borderId="0" xfId="0" applyFont="1" applyFill="1" applyBorder="1" applyAlignment="1">
      <alignment horizontal="center"/>
    </xf>
    <xf numFmtId="0" fontId="24" fillId="0" borderId="0" xfId="0" applyFont="1" applyFill="1" applyBorder="1" applyAlignment="1">
      <alignment horizontal="center"/>
    </xf>
    <xf numFmtId="0" fontId="21" fillId="0" borderId="0" xfId="0" applyFont="1" applyFill="1" applyBorder="1" applyAlignment="1">
      <alignment horizontal="center"/>
    </xf>
    <xf numFmtId="0" fontId="21" fillId="0" borderId="3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38" xfId="0" applyFont="1" applyFill="1" applyBorder="1" applyAlignment="1">
      <alignment horizontal="center" vertical="center"/>
    </xf>
    <xf numFmtId="0" fontId="38" fillId="0" borderId="33" xfId="0" applyFont="1" applyFill="1" applyBorder="1" applyAlignment="1">
      <alignment horizontal="center" vertical="center"/>
    </xf>
    <xf numFmtId="0" fontId="38" fillId="0" borderId="34" xfId="0" applyFont="1" applyFill="1" applyBorder="1" applyAlignment="1">
      <alignment horizontal="center" vertical="center"/>
    </xf>
    <xf numFmtId="0" fontId="38" fillId="0" borderId="35" xfId="0" applyFont="1" applyFill="1" applyBorder="1" applyAlignment="1">
      <alignment horizontal="center" vertical="center"/>
    </xf>
    <xf numFmtId="0" fontId="38" fillId="0" borderId="36"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38"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8" xfId="0" applyFont="1" applyFill="1" applyBorder="1" applyAlignment="1">
      <alignment horizontal="center" vertical="center"/>
    </xf>
    <xf numFmtId="0" fontId="34" fillId="0" borderId="0" xfId="0" applyFont="1" applyAlignment="1">
      <alignment horizontal="justify" wrapText="1"/>
    </xf>
    <xf numFmtId="0" fontId="0" fillId="0" borderId="0" xfId="0" applyFont="1" applyAlignment="1">
      <alignment wrapText="1"/>
    </xf>
    <xf numFmtId="0" fontId="21" fillId="43" borderId="33" xfId="0" applyFont="1" applyFill="1" applyBorder="1" applyAlignment="1">
      <alignment horizontal="center" vertical="center" wrapText="1"/>
    </xf>
    <xf numFmtId="0" fontId="21" fillId="43" borderId="34" xfId="0" applyFont="1" applyFill="1" applyBorder="1" applyAlignment="1">
      <alignment horizontal="center" vertical="center" wrapText="1"/>
    </xf>
    <xf numFmtId="0" fontId="21" fillId="43" borderId="35"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38" xfId="0" applyFont="1" applyBorder="1" applyAlignment="1">
      <alignment horizontal="center" vertical="center" wrapText="1"/>
    </xf>
    <xf numFmtId="0" fontId="0" fillId="0" borderId="0" xfId="0" applyFont="1" applyAlignment="1">
      <alignment horizontal="left" wrapText="1"/>
    </xf>
    <xf numFmtId="0" fontId="34" fillId="0" borderId="0" xfId="0" applyFont="1" applyAlignment="1">
      <alignment horizontal="left" wrapText="1"/>
    </xf>
    <xf numFmtId="0" fontId="0" fillId="0" borderId="82" xfId="84" applyFont="1" applyFill="1" applyBorder="1" applyAlignment="1">
      <alignment horizontal="center"/>
      <protection/>
    </xf>
    <xf numFmtId="0" fontId="0" fillId="0" borderId="42" xfId="84" applyFont="1" applyFill="1" applyBorder="1" applyAlignment="1">
      <alignment horizontal="center"/>
      <protection/>
    </xf>
    <xf numFmtId="0" fontId="95" fillId="0" borderId="42" xfId="84" applyFont="1" applyFill="1" applyBorder="1" applyAlignment="1">
      <alignment horizontal="center"/>
      <protection/>
    </xf>
    <xf numFmtId="0" fontId="95" fillId="0" borderId="77" xfId="84" applyFont="1" applyFill="1" applyBorder="1" applyAlignment="1">
      <alignment horizontal="center"/>
      <protection/>
    </xf>
    <xf numFmtId="0" fontId="0" fillId="0" borderId="83" xfId="84" applyFont="1" applyFill="1" applyBorder="1" applyAlignment="1">
      <alignment horizontal="center"/>
      <protection/>
    </xf>
    <xf numFmtId="0" fontId="0" fillId="0" borderId="52" xfId="84" applyFont="1" applyFill="1" applyBorder="1" applyAlignment="1">
      <alignment horizontal="center"/>
      <protection/>
    </xf>
    <xf numFmtId="0" fontId="0" fillId="0" borderId="84" xfId="84" applyFont="1" applyFill="1" applyBorder="1" applyAlignment="1">
      <alignment horizontal="center"/>
      <protection/>
    </xf>
    <xf numFmtId="0" fontId="48" fillId="0" borderId="36" xfId="84" applyFont="1" applyBorder="1" applyAlignment="1">
      <alignment horizontal="center" vertical="center" wrapText="1"/>
      <protection/>
    </xf>
    <xf numFmtId="0" fontId="48" fillId="0" borderId="0" xfId="84" applyFont="1" applyBorder="1" applyAlignment="1">
      <alignment horizontal="center" vertical="center" wrapText="1"/>
      <protection/>
    </xf>
    <xf numFmtId="0" fontId="48" fillId="0" borderId="23" xfId="84" applyFont="1" applyBorder="1" applyAlignment="1">
      <alignment horizontal="center" vertical="center" wrapText="1"/>
      <protection/>
    </xf>
    <xf numFmtId="0" fontId="47" fillId="0" borderId="33" xfId="84" applyFont="1" applyBorder="1" applyAlignment="1">
      <alignment horizontal="center" vertical="center" wrapText="1"/>
      <protection/>
    </xf>
    <xf numFmtId="0" fontId="47" fillId="0" borderId="34" xfId="84" applyFont="1" applyBorder="1" applyAlignment="1">
      <alignment horizontal="center" vertical="center" wrapText="1"/>
      <protection/>
    </xf>
    <xf numFmtId="0" fontId="47" fillId="0" borderId="35" xfId="84" applyFont="1" applyBorder="1" applyAlignment="1">
      <alignment horizontal="center" vertical="center" wrapText="1"/>
      <protection/>
    </xf>
    <xf numFmtId="0" fontId="47" fillId="0" borderId="36" xfId="84" applyFont="1" applyBorder="1" applyAlignment="1">
      <alignment horizontal="center" vertical="center" wrapText="1"/>
      <protection/>
    </xf>
    <xf numFmtId="0" fontId="47" fillId="0" borderId="0" xfId="84" applyFont="1" applyBorder="1" applyAlignment="1">
      <alignment horizontal="center" vertical="center" wrapText="1"/>
      <protection/>
    </xf>
    <xf numFmtId="0" fontId="47" fillId="0" borderId="38" xfId="84" applyFont="1" applyBorder="1" applyAlignment="1">
      <alignment horizontal="center" vertical="center" wrapText="1"/>
      <protection/>
    </xf>
    <xf numFmtId="0" fontId="42" fillId="0" borderId="85" xfId="84" applyFont="1" applyFill="1" applyBorder="1" applyAlignment="1">
      <alignment horizontal="center"/>
      <protection/>
    </xf>
    <xf numFmtId="0" fontId="42" fillId="0" borderId="86" xfId="84" applyFont="1" applyFill="1" applyBorder="1" applyAlignment="1">
      <alignment horizontal="center"/>
      <protection/>
    </xf>
    <xf numFmtId="0" fontId="42" fillId="0" borderId="87" xfId="84" applyFont="1" applyFill="1" applyBorder="1" applyAlignment="1">
      <alignment horizontal="center"/>
      <protection/>
    </xf>
    <xf numFmtId="0" fontId="102" fillId="0" borderId="85" xfId="84" applyFont="1" applyFill="1" applyBorder="1" applyAlignment="1">
      <alignment horizontal="center"/>
      <protection/>
    </xf>
    <xf numFmtId="0" fontId="102" fillId="0" borderId="86" xfId="84" applyFont="1" applyFill="1" applyBorder="1" applyAlignment="1">
      <alignment horizontal="center"/>
      <protection/>
    </xf>
    <xf numFmtId="0" fontId="102" fillId="0" borderId="87" xfId="84" applyFont="1" applyFill="1" applyBorder="1" applyAlignment="1">
      <alignment horizontal="center"/>
      <protection/>
    </xf>
    <xf numFmtId="0" fontId="102" fillId="0" borderId="36" xfId="84" applyFont="1" applyFill="1" applyBorder="1" applyAlignment="1">
      <alignment horizontal="center"/>
      <protection/>
    </xf>
    <xf numFmtId="0" fontId="102" fillId="0" borderId="0" xfId="84" applyFont="1" applyFill="1" applyBorder="1" applyAlignment="1">
      <alignment horizontal="center"/>
      <protection/>
    </xf>
    <xf numFmtId="0" fontId="102" fillId="0" borderId="38" xfId="84" applyFont="1" applyFill="1" applyBorder="1" applyAlignment="1">
      <alignment horizontal="center"/>
      <protection/>
    </xf>
    <xf numFmtId="0" fontId="102" fillId="35" borderId="85" xfId="84" applyFont="1" applyFill="1" applyBorder="1" applyAlignment="1">
      <alignment horizontal="center"/>
      <protection/>
    </xf>
    <xf numFmtId="0" fontId="102" fillId="35" borderId="86" xfId="84" applyFont="1" applyFill="1" applyBorder="1" applyAlignment="1">
      <alignment horizontal="center"/>
      <protection/>
    </xf>
    <xf numFmtId="0" fontId="102" fillId="35" borderId="87" xfId="84" applyFont="1" applyFill="1" applyBorder="1" applyAlignment="1">
      <alignment horizontal="center"/>
      <protection/>
    </xf>
    <xf numFmtId="0" fontId="102" fillId="35" borderId="36" xfId="84" applyFont="1" applyFill="1" applyBorder="1" applyAlignment="1">
      <alignment horizontal="center"/>
      <protection/>
    </xf>
    <xf numFmtId="0" fontId="102" fillId="35" borderId="0" xfId="84" applyFont="1" applyFill="1" applyBorder="1" applyAlignment="1">
      <alignment horizontal="center"/>
      <protection/>
    </xf>
    <xf numFmtId="0" fontId="102" fillId="35" borderId="38" xfId="84" applyFont="1" applyFill="1" applyBorder="1" applyAlignment="1">
      <alignment horizontal="center"/>
      <protection/>
    </xf>
    <xf numFmtId="0" fontId="0" fillId="35" borderId="82" xfId="84" applyFont="1" applyFill="1" applyBorder="1" applyAlignment="1">
      <alignment horizontal="center"/>
      <protection/>
    </xf>
    <xf numFmtId="0" fontId="0" fillId="35" borderId="42" xfId="84" applyFont="1" applyFill="1" applyBorder="1" applyAlignment="1">
      <alignment horizontal="center"/>
      <protection/>
    </xf>
    <xf numFmtId="0" fontId="95" fillId="35" borderId="42" xfId="84" applyFont="1" applyFill="1" applyBorder="1" applyAlignment="1">
      <alignment horizontal="center"/>
      <protection/>
    </xf>
    <xf numFmtId="0" fontId="95" fillId="35" borderId="77" xfId="84" applyFont="1" applyFill="1" applyBorder="1" applyAlignment="1">
      <alignment horizontal="center"/>
      <protection/>
    </xf>
    <xf numFmtId="0" fontId="42" fillId="35" borderId="85" xfId="84" applyFont="1" applyFill="1" applyBorder="1" applyAlignment="1">
      <alignment horizontal="center"/>
      <protection/>
    </xf>
    <xf numFmtId="0" fontId="42" fillId="35" borderId="86" xfId="84" applyFont="1" applyFill="1" applyBorder="1" applyAlignment="1">
      <alignment horizontal="center"/>
      <protection/>
    </xf>
    <xf numFmtId="0" fontId="42" fillId="35" borderId="87" xfId="84" applyFont="1" applyFill="1" applyBorder="1" applyAlignment="1">
      <alignment horizontal="center"/>
      <protection/>
    </xf>
    <xf numFmtId="0" fontId="0" fillId="35" borderId="83" xfId="84" applyFont="1" applyFill="1" applyBorder="1" applyAlignment="1">
      <alignment horizontal="center"/>
      <protection/>
    </xf>
    <xf numFmtId="0" fontId="0" fillId="35" borderId="52" xfId="84" applyFont="1" applyFill="1" applyBorder="1" applyAlignment="1">
      <alignment horizontal="center"/>
      <protection/>
    </xf>
    <xf numFmtId="0" fontId="0" fillId="35" borderId="84" xfId="84" applyFont="1" applyFill="1" applyBorder="1" applyAlignment="1">
      <alignment horizontal="center"/>
      <protection/>
    </xf>
    <xf numFmtId="3" fontId="21" fillId="0" borderId="0" xfId="84" applyNumberFormat="1" applyFont="1" applyBorder="1" applyAlignment="1">
      <alignment horizontal="center"/>
      <protection/>
    </xf>
    <xf numFmtId="3" fontId="21" fillId="0" borderId="38" xfId="84" applyNumberFormat="1" applyFont="1" applyBorder="1" applyAlignment="1">
      <alignment horizontal="center"/>
      <protection/>
    </xf>
    <xf numFmtId="0" fontId="41" fillId="0" borderId="36" xfId="84" applyFont="1" applyFill="1" applyBorder="1" applyAlignment="1">
      <alignment horizontal="center"/>
      <protection/>
    </xf>
    <xf numFmtId="0" fontId="41" fillId="0" borderId="0" xfId="84" applyFont="1" applyFill="1" applyBorder="1" applyAlignment="1">
      <alignment horizontal="center"/>
      <protection/>
    </xf>
    <xf numFmtId="0" fontId="41" fillId="0" borderId="38" xfId="84" applyFont="1" applyFill="1" applyBorder="1" applyAlignment="1">
      <alignment horizontal="center"/>
      <protection/>
    </xf>
    <xf numFmtId="0" fontId="41" fillId="0" borderId="42" xfId="84" applyFont="1" applyFill="1" applyBorder="1" applyAlignment="1">
      <alignment horizontal="center"/>
      <protection/>
    </xf>
    <xf numFmtId="0" fontId="41" fillId="0" borderId="77" xfId="84" applyFont="1" applyFill="1" applyBorder="1" applyAlignment="1">
      <alignment horizontal="center"/>
      <protection/>
    </xf>
    <xf numFmtId="0" fontId="0" fillId="0" borderId="83" xfId="84" applyFont="1" applyFill="1" applyBorder="1" applyAlignment="1">
      <alignment horizontal="center"/>
      <protection/>
    </xf>
    <xf numFmtId="0" fontId="0" fillId="0" borderId="52" xfId="84" applyFont="1" applyFill="1" applyBorder="1" applyAlignment="1">
      <alignment horizontal="center"/>
      <protection/>
    </xf>
    <xf numFmtId="0" fontId="0" fillId="0" borderId="84" xfId="84" applyFont="1" applyFill="1" applyBorder="1" applyAlignment="1">
      <alignment horizontal="center"/>
      <protection/>
    </xf>
    <xf numFmtId="0" fontId="48" fillId="0" borderId="36" xfId="84" applyFont="1" applyBorder="1" applyAlignment="1">
      <alignment horizontal="left" vertical="center" wrapText="1"/>
      <protection/>
    </xf>
    <xf numFmtId="0" fontId="48" fillId="0" borderId="0" xfId="84" applyFont="1" applyBorder="1" applyAlignment="1">
      <alignment horizontal="left" vertical="center" wrapText="1"/>
      <protection/>
    </xf>
    <xf numFmtId="0" fontId="27" fillId="0" borderId="0" xfId="84" applyFont="1" applyBorder="1" applyAlignment="1">
      <alignment horizontal="center" vertical="center" wrapText="1"/>
      <protection/>
    </xf>
    <xf numFmtId="0" fontId="27" fillId="0" borderId="42" xfId="84" applyFont="1" applyBorder="1" applyAlignment="1">
      <alignment horizontal="center" vertical="center" wrapText="1"/>
      <protection/>
    </xf>
    <xf numFmtId="0" fontId="27" fillId="0" borderId="38" xfId="84" applyFont="1" applyBorder="1" applyAlignment="1">
      <alignment horizontal="center" vertical="center"/>
      <protection/>
    </xf>
    <xf numFmtId="0" fontId="27" fillId="0" borderId="77" xfId="84" applyFont="1" applyBorder="1" applyAlignment="1">
      <alignment horizontal="center" vertical="center"/>
      <protection/>
    </xf>
    <xf numFmtId="0" fontId="42" fillId="0" borderId="36" xfId="84" applyFont="1" applyFill="1" applyBorder="1" applyAlignment="1">
      <alignment horizontal="center"/>
      <protection/>
    </xf>
    <xf numFmtId="0" fontId="42" fillId="0" borderId="0" xfId="84" applyFont="1" applyFill="1" applyBorder="1" applyAlignment="1">
      <alignment horizontal="center"/>
      <protection/>
    </xf>
    <xf numFmtId="0" fontId="42" fillId="0" borderId="38" xfId="84" applyFont="1" applyFill="1" applyBorder="1" applyAlignment="1">
      <alignment horizontal="center"/>
      <protection/>
    </xf>
    <xf numFmtId="0" fontId="42" fillId="35" borderId="36" xfId="84" applyFont="1" applyFill="1" applyBorder="1" applyAlignment="1">
      <alignment horizontal="center"/>
      <protection/>
    </xf>
    <xf numFmtId="0" fontId="42" fillId="35" borderId="0" xfId="84" applyFont="1" applyFill="1" applyBorder="1" applyAlignment="1">
      <alignment horizontal="center"/>
      <protection/>
    </xf>
    <xf numFmtId="0" fontId="42" fillId="35" borderId="38" xfId="84" applyFont="1" applyFill="1" applyBorder="1" applyAlignment="1">
      <alignment horizontal="center"/>
      <protection/>
    </xf>
    <xf numFmtId="0" fontId="41" fillId="35" borderId="36" xfId="84" applyFont="1" applyFill="1" applyBorder="1" applyAlignment="1">
      <alignment horizontal="center"/>
      <protection/>
    </xf>
    <xf numFmtId="0" fontId="41" fillId="35" borderId="0" xfId="84" applyFont="1" applyFill="1" applyBorder="1" applyAlignment="1">
      <alignment horizontal="center"/>
      <protection/>
    </xf>
    <xf numFmtId="0" fontId="41" fillId="35" borderId="38" xfId="84" applyFont="1" applyFill="1" applyBorder="1" applyAlignment="1">
      <alignment horizontal="center"/>
      <protection/>
    </xf>
    <xf numFmtId="0" fontId="41" fillId="35" borderId="42" xfId="84" applyFont="1" applyFill="1" applyBorder="1" applyAlignment="1">
      <alignment horizontal="center"/>
      <protection/>
    </xf>
    <xf numFmtId="0" fontId="41" fillId="35" borderId="77" xfId="84" applyFont="1" applyFill="1" applyBorder="1" applyAlignment="1">
      <alignment horizontal="center"/>
      <protection/>
    </xf>
    <xf numFmtId="0" fontId="0" fillId="0" borderId="82" xfId="84" applyFont="1" applyFill="1" applyBorder="1" applyAlignment="1">
      <alignment horizontal="center"/>
      <protection/>
    </xf>
    <xf numFmtId="0" fontId="21" fillId="42" borderId="62" xfId="0" applyFont="1" applyFill="1" applyBorder="1" applyAlignment="1">
      <alignment horizontal="center" vertical="center" wrapText="1"/>
    </xf>
    <xf numFmtId="0" fontId="21" fillId="42" borderId="63" xfId="0" applyFont="1" applyFill="1" applyBorder="1" applyAlignment="1">
      <alignment horizontal="center" vertical="center" wrapText="1"/>
    </xf>
    <xf numFmtId="0" fontId="21" fillId="42" borderId="64" xfId="0" applyFont="1" applyFill="1" applyBorder="1" applyAlignment="1">
      <alignment horizontal="center" vertical="center" wrapText="1"/>
    </xf>
    <xf numFmtId="0" fontId="21" fillId="0" borderId="0" xfId="0" applyFont="1" applyBorder="1" applyAlignment="1">
      <alignment horizontal="center" vertical="center" wrapText="1"/>
    </xf>
    <xf numFmtId="0" fontId="21" fillId="0" borderId="38"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0"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38" xfId="0" applyFont="1" applyBorder="1" applyAlignment="1">
      <alignment horizontal="center" vertical="center" wrapText="1"/>
    </xf>
    <xf numFmtId="0" fontId="21" fillId="0" borderId="36" xfId="0" applyFont="1" applyBorder="1" applyAlignment="1">
      <alignment horizontal="center" vertical="center" wrapText="1"/>
    </xf>
    <xf numFmtId="0" fontId="40" fillId="0" borderId="71" xfId="0" applyFont="1" applyFill="1" applyBorder="1" applyAlignment="1">
      <alignment horizontal="center" vertical="center" wrapText="1"/>
    </xf>
    <xf numFmtId="0" fontId="40" fillId="0" borderId="59" xfId="0" applyFont="1" applyFill="1" applyBorder="1" applyAlignment="1">
      <alignment horizontal="center" vertical="center" wrapText="1"/>
    </xf>
    <xf numFmtId="0" fontId="40" fillId="41" borderId="72" xfId="0" applyFont="1" applyFill="1" applyBorder="1" applyAlignment="1">
      <alignment horizontal="center" vertical="center"/>
    </xf>
    <xf numFmtId="0" fontId="40" fillId="41" borderId="69" xfId="0" applyFont="1" applyFill="1" applyBorder="1" applyAlignment="1">
      <alignment horizontal="center" vertical="center"/>
    </xf>
    <xf numFmtId="0" fontId="40" fillId="3" borderId="34" xfId="0" applyFont="1" applyFill="1" applyBorder="1" applyAlignment="1">
      <alignment horizontal="center" vertical="center" wrapText="1"/>
    </xf>
    <xf numFmtId="0" fontId="40" fillId="3" borderId="34" xfId="0" applyFont="1" applyFill="1" applyBorder="1" applyAlignment="1">
      <alignment horizontal="center"/>
    </xf>
    <xf numFmtId="0" fontId="40" fillId="3" borderId="88" xfId="0" applyFont="1" applyFill="1" applyBorder="1" applyAlignment="1">
      <alignment horizontal="center"/>
    </xf>
    <xf numFmtId="0" fontId="40" fillId="3" borderId="46" xfId="0" applyFont="1" applyFill="1" applyBorder="1" applyAlignment="1">
      <alignment horizontal="center"/>
    </xf>
    <xf numFmtId="0" fontId="40" fillId="3" borderId="47" xfId="0" applyFont="1" applyFill="1" applyBorder="1" applyAlignment="1">
      <alignment horizontal="center"/>
    </xf>
    <xf numFmtId="0" fontId="40" fillId="3" borderId="89" xfId="0" applyFont="1" applyFill="1" applyBorder="1" applyAlignment="1">
      <alignment horizontal="center"/>
    </xf>
    <xf numFmtId="0" fontId="40" fillId="3" borderId="90" xfId="0" applyFont="1" applyFill="1" applyBorder="1" applyAlignment="1">
      <alignment horizontal="center"/>
    </xf>
    <xf numFmtId="0" fontId="40" fillId="3" borderId="91" xfId="0" applyFont="1" applyFill="1" applyBorder="1" applyAlignment="1">
      <alignment horizontal="center" vertical="center"/>
    </xf>
    <xf numFmtId="0" fontId="40" fillId="3" borderId="34" xfId="0" applyFont="1" applyFill="1" applyBorder="1" applyAlignment="1">
      <alignment horizontal="center" vertical="center"/>
    </xf>
    <xf numFmtId="0" fontId="40" fillId="3" borderId="35" xfId="0" applyFont="1" applyFill="1" applyBorder="1" applyAlignment="1">
      <alignment horizontal="center" vertical="center"/>
    </xf>
    <xf numFmtId="0" fontId="40" fillId="3" borderId="49" xfId="0" applyFont="1" applyFill="1" applyBorder="1" applyAlignment="1">
      <alignment horizontal="center" vertical="center"/>
    </xf>
    <xf numFmtId="0" fontId="40" fillId="3" borderId="42" xfId="0" applyFont="1" applyFill="1" applyBorder="1" applyAlignment="1">
      <alignment horizontal="center" vertical="center"/>
    </xf>
    <xf numFmtId="0" fontId="40" fillId="3" borderId="77" xfId="0" applyFont="1" applyFill="1" applyBorder="1" applyAlignment="1">
      <alignment horizontal="center" vertical="center"/>
    </xf>
    <xf numFmtId="49" fontId="40" fillId="0" borderId="71" xfId="0" applyNumberFormat="1" applyFont="1" applyFill="1" applyBorder="1" applyAlignment="1">
      <alignment horizontal="center" vertical="center" wrapText="1"/>
    </xf>
    <xf numFmtId="49" fontId="40" fillId="0" borderId="59" xfId="0" applyNumberFormat="1" applyFont="1" applyFill="1" applyBorder="1" applyAlignment="1">
      <alignment horizontal="center" vertical="center" wrapText="1"/>
    </xf>
    <xf numFmtId="49" fontId="40" fillId="46" borderId="71" xfId="0" applyNumberFormat="1" applyFont="1" applyFill="1" applyBorder="1" applyAlignment="1">
      <alignment horizontal="center" vertical="center" wrapText="1"/>
    </xf>
    <xf numFmtId="49" fontId="40" fillId="46" borderId="59" xfId="0" applyNumberFormat="1" applyFont="1" applyFill="1" applyBorder="1" applyAlignment="1">
      <alignment horizontal="center" vertical="center" wrapText="1"/>
    </xf>
    <xf numFmtId="0" fontId="5" fillId="0" borderId="71" xfId="0" applyFont="1" applyFill="1" applyBorder="1" applyAlignment="1">
      <alignment horizontal="center" vertical="center"/>
    </xf>
    <xf numFmtId="0" fontId="44" fillId="36" borderId="71" xfId="0" applyFont="1" applyFill="1" applyBorder="1" applyAlignment="1">
      <alignment horizontal="center" vertical="center"/>
    </xf>
    <xf numFmtId="0" fontId="44" fillId="37" borderId="71" xfId="0" applyFont="1" applyFill="1" applyBorder="1" applyAlignment="1">
      <alignment horizontal="center" vertical="center"/>
    </xf>
    <xf numFmtId="0" fontId="40" fillId="0" borderId="71" xfId="0" applyFont="1" applyFill="1" applyBorder="1" applyAlignment="1" applyProtection="1">
      <alignment horizontal="center" vertical="center" wrapText="1"/>
      <protection/>
    </xf>
    <xf numFmtId="0" fontId="40" fillId="0" borderId="59" xfId="0" applyFont="1" applyFill="1" applyBorder="1" applyAlignment="1" applyProtection="1">
      <alignment horizontal="center" vertical="center" wrapText="1"/>
      <protection/>
    </xf>
    <xf numFmtId="195" fontId="5" fillId="0" borderId="33" xfId="53" applyNumberFormat="1" applyFont="1" applyFill="1" applyBorder="1" applyAlignment="1">
      <alignment horizontal="center" vertical="center"/>
    </xf>
    <xf numFmtId="195" fontId="5" fillId="0" borderId="34" xfId="53" applyNumberFormat="1" applyFont="1" applyFill="1" applyBorder="1" applyAlignment="1">
      <alignment horizontal="center" vertical="center"/>
    </xf>
    <xf numFmtId="195" fontId="5" fillId="37" borderId="34" xfId="53" applyNumberFormat="1" applyFont="1" applyFill="1" applyBorder="1" applyAlignment="1">
      <alignment horizontal="center" vertical="center"/>
    </xf>
    <xf numFmtId="195" fontId="5" fillId="0" borderId="35" xfId="53" applyNumberFormat="1" applyFont="1" applyFill="1" applyBorder="1" applyAlignment="1">
      <alignment horizontal="center" vertical="center"/>
    </xf>
    <xf numFmtId="195" fontId="40" fillId="0" borderId="70" xfId="53" applyNumberFormat="1" applyFont="1" applyFill="1" applyBorder="1" applyAlignment="1">
      <alignment horizontal="center" vertical="center" wrapText="1"/>
    </xf>
    <xf numFmtId="195" fontId="40" fillId="0" borderId="68" xfId="53" applyNumberFormat="1" applyFont="1" applyFill="1" applyBorder="1" applyAlignment="1">
      <alignment horizontal="center" vertical="center" wrapText="1"/>
    </xf>
    <xf numFmtId="195" fontId="40" fillId="0" borderId="71" xfId="53" applyNumberFormat="1" applyFont="1" applyFill="1" applyBorder="1" applyAlignment="1">
      <alignment horizontal="center" vertical="center" wrapText="1"/>
    </xf>
    <xf numFmtId="195" fontId="40" fillId="0" borderId="59" xfId="53" applyNumberFormat="1" applyFont="1" applyFill="1" applyBorder="1" applyAlignment="1">
      <alignment horizontal="center" vertical="center" wrapText="1"/>
    </xf>
    <xf numFmtId="0" fontId="8" fillId="0" borderId="92" xfId="0" applyFont="1" applyBorder="1" applyAlignment="1">
      <alignment horizontal="center" vertical="center"/>
    </xf>
    <xf numFmtId="0" fontId="8" fillId="0" borderId="86" xfId="0" applyFont="1" applyBorder="1" applyAlignment="1">
      <alignment horizontal="center"/>
    </xf>
    <xf numFmtId="0" fontId="0" fillId="0" borderId="0" xfId="0" applyAlignment="1">
      <alignment horizontal="center"/>
    </xf>
    <xf numFmtId="0" fontId="103" fillId="0" borderId="0" xfId="0" applyFont="1" applyFill="1" applyAlignment="1">
      <alignment horizontal="center" vertical="center" wrapText="1"/>
    </xf>
    <xf numFmtId="0" fontId="51" fillId="0" borderId="0" xfId="0" applyFont="1" applyAlignment="1">
      <alignment/>
    </xf>
    <xf numFmtId="49" fontId="51" fillId="0" borderId="61" xfId="0" applyNumberFormat="1" applyFont="1" applyBorder="1" applyAlignment="1">
      <alignment vertical="center"/>
    </xf>
    <xf numFmtId="49" fontId="51" fillId="0" borderId="61" xfId="0" applyNumberFormat="1" applyFont="1" applyBorder="1" applyAlignment="1">
      <alignment/>
    </xf>
    <xf numFmtId="14" fontId="51" fillId="0" borderId="61" xfId="0" applyNumberFormat="1" applyFont="1" applyBorder="1" applyAlignment="1">
      <alignment vertical="center" wrapText="1"/>
    </xf>
  </cellXfs>
  <cellStyles count="9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Euro 2" xfId="47"/>
    <cellStyle name="Euro 3" xfId="48"/>
    <cellStyle name="Hyperlink" xfId="49"/>
    <cellStyle name="Hipervínculo 2" xfId="50"/>
    <cellStyle name="Followed Hyperlink" xfId="51"/>
    <cellStyle name="Incorrecto" xfId="52"/>
    <cellStyle name="Comma" xfId="53"/>
    <cellStyle name="Comma [0]" xfId="54"/>
    <cellStyle name="Millares 2" xfId="55"/>
    <cellStyle name="Millares 2 2" xfId="56"/>
    <cellStyle name="Millares 2 3" xfId="57"/>
    <cellStyle name="Millares 2 4" xfId="58"/>
    <cellStyle name="Millares 3" xfId="59"/>
    <cellStyle name="Millares 3 2" xfId="60"/>
    <cellStyle name="Millares 3 3" xfId="61"/>
    <cellStyle name="Millares 4" xfId="62"/>
    <cellStyle name="Millares 4 2" xfId="63"/>
    <cellStyle name="Millares 4 3" xfId="64"/>
    <cellStyle name="Millares 5" xfId="65"/>
    <cellStyle name="Millares 5 2" xfId="66"/>
    <cellStyle name="Millares 5 3" xfId="67"/>
    <cellStyle name="Millares 6" xfId="68"/>
    <cellStyle name="Millares 6 2" xfId="69"/>
    <cellStyle name="Millares 6 3" xfId="70"/>
    <cellStyle name="Millares 7" xfId="71"/>
    <cellStyle name="Millares 8" xfId="72"/>
    <cellStyle name="Millares 9" xfId="73"/>
    <cellStyle name="Currency" xfId="74"/>
    <cellStyle name="Currency [0]" xfId="75"/>
    <cellStyle name="Moneda 2" xfId="76"/>
    <cellStyle name="Moneda 2 2" xfId="77"/>
    <cellStyle name="Moneda 2 3" xfId="78"/>
    <cellStyle name="Moneda 3" xfId="79"/>
    <cellStyle name="Moneda 4" xfId="80"/>
    <cellStyle name="Moneda 5" xfId="81"/>
    <cellStyle name="Neutral" xfId="82"/>
    <cellStyle name="Normal 2" xfId="83"/>
    <cellStyle name="Normal 2 2" xfId="84"/>
    <cellStyle name="Normal 2 3" xfId="85"/>
    <cellStyle name="Normal 3" xfId="86"/>
    <cellStyle name="Normal_Hoja1" xfId="87"/>
    <cellStyle name="Notas" xfId="88"/>
    <cellStyle name="Percent" xfId="89"/>
    <cellStyle name="Porcentaje 2" xfId="90"/>
    <cellStyle name="Porcentual 2" xfId="91"/>
    <cellStyle name="Porcentual 2 2" xfId="92"/>
    <cellStyle name="Porcentual 2 3" xfId="93"/>
    <cellStyle name="Porcentual 3" xfId="94"/>
    <cellStyle name="Porcentual 3 2" xfId="95"/>
    <cellStyle name="Porcentual 3 3" xfId="96"/>
    <cellStyle name="Porcentual 4" xfId="97"/>
    <cellStyle name="Porcentual 5" xfId="98"/>
    <cellStyle name="Porcentual 6" xfId="99"/>
    <cellStyle name="Porcentual 7" xfId="100"/>
    <cellStyle name="Salida" xfId="101"/>
    <cellStyle name="Texto de advertencia" xfId="102"/>
    <cellStyle name="Texto explicativo" xfId="103"/>
    <cellStyle name="Título" xfId="104"/>
    <cellStyle name="Título 2" xfId="105"/>
    <cellStyle name="Título 3" xfId="106"/>
    <cellStyle name="Total"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0</xdr:rowOff>
    </xdr:from>
    <xdr:to>
      <xdr:col>2</xdr:col>
      <xdr:colOff>247650</xdr:colOff>
      <xdr:row>2</xdr:row>
      <xdr:rowOff>238125</xdr:rowOff>
    </xdr:to>
    <xdr:pic>
      <xdr:nvPicPr>
        <xdr:cNvPr id="1" name="Imagen 1"/>
        <xdr:cNvPicPr preferRelativeResize="1">
          <a:picLocks noChangeAspect="1"/>
        </xdr:cNvPicPr>
      </xdr:nvPicPr>
      <xdr:blipFill>
        <a:blip r:embed="rId1"/>
        <a:srcRect l="18695" t="20924" r="41093" b="25109"/>
        <a:stretch>
          <a:fillRect/>
        </a:stretch>
      </xdr:blipFill>
      <xdr:spPr>
        <a:xfrm>
          <a:off x="752475" y="0"/>
          <a:ext cx="10953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0</xdr:rowOff>
    </xdr:from>
    <xdr:to>
      <xdr:col>0</xdr:col>
      <xdr:colOff>990600</xdr:colOff>
      <xdr:row>1</xdr:row>
      <xdr:rowOff>304800</xdr:rowOff>
    </xdr:to>
    <xdr:pic>
      <xdr:nvPicPr>
        <xdr:cNvPr id="1" name="Imagen 1"/>
        <xdr:cNvPicPr preferRelativeResize="1">
          <a:picLocks noChangeAspect="1"/>
        </xdr:cNvPicPr>
      </xdr:nvPicPr>
      <xdr:blipFill>
        <a:blip r:embed="rId1"/>
        <a:srcRect l="18695" t="20924" r="41093" b="25109"/>
        <a:stretch>
          <a:fillRect/>
        </a:stretch>
      </xdr:blipFill>
      <xdr:spPr>
        <a:xfrm>
          <a:off x="180975" y="0"/>
          <a:ext cx="8096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0</xdr:col>
      <xdr:colOff>1200150</xdr:colOff>
      <xdr:row>2</xdr:row>
      <xdr:rowOff>209550</xdr:rowOff>
    </xdr:to>
    <xdr:pic>
      <xdr:nvPicPr>
        <xdr:cNvPr id="1" name="Picture 1"/>
        <xdr:cNvPicPr preferRelativeResize="1">
          <a:picLocks noChangeAspect="1"/>
        </xdr:cNvPicPr>
      </xdr:nvPicPr>
      <xdr:blipFill>
        <a:blip r:embed="rId1"/>
        <a:srcRect l="44512" t="62254" r="40563" b="21014"/>
        <a:stretch>
          <a:fillRect/>
        </a:stretch>
      </xdr:blipFill>
      <xdr:spPr>
        <a:xfrm>
          <a:off x="123825" y="85725"/>
          <a:ext cx="10763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0</xdr:col>
      <xdr:colOff>1085850</xdr:colOff>
      <xdr:row>3</xdr:row>
      <xdr:rowOff>123825</xdr:rowOff>
    </xdr:to>
    <xdr:pic>
      <xdr:nvPicPr>
        <xdr:cNvPr id="1" name="Picture 17"/>
        <xdr:cNvPicPr preferRelativeResize="1">
          <a:picLocks noChangeAspect="1"/>
        </xdr:cNvPicPr>
      </xdr:nvPicPr>
      <xdr:blipFill>
        <a:blip r:embed="rId1"/>
        <a:srcRect l="44512" t="62254" r="40563" b="21014"/>
        <a:stretch>
          <a:fillRect/>
        </a:stretch>
      </xdr:blipFill>
      <xdr:spPr>
        <a:xfrm>
          <a:off x="38100" y="57150"/>
          <a:ext cx="1047750" cy="6667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zuniga\Escritorio\Backup%20Acarranza\SGC-10\TH%202013\NOMINAS%202013\NOMINAS%202013\JUNIO\CDP%20Y%20CRP%20062013\CDP%20NOMINA%20SUELDOS%20JUNIO%20NUEVO%20FORMA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amaya\Mis%20documentos\SGC-05\ALBERTO%20AMAYA\DGCORPORATIVA%20-ADMON.%20PERSONAL-\2014\GESTION%20TALENTO%20HUMANO\PLANTAS%20DE%20PERSONAL\PLANTA%20COSTOS%20-%20VINCULACION%20-%20MANUAL%20A%20SEPT%20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F01"/>
      <sheetName val="POR"/>
      <sheetName val="CONV"/>
      <sheetName val="Hoja3"/>
      <sheetName val="Rubros"/>
      <sheetName val="Cargos"/>
    </sheetNames>
    <sheetDataSet>
      <sheetData sheetId="4">
        <row r="1">
          <cell r="A1" t="str">
            <v>GASTOS</v>
          </cell>
        </row>
        <row r="2">
          <cell r="A2" t="str">
            <v>GASTOS DE FUNCIONAMIENTO</v>
          </cell>
        </row>
        <row r="3">
          <cell r="A3" t="str">
            <v>SERVICIOS PERSONALES</v>
          </cell>
        </row>
        <row r="4">
          <cell r="A4" t="str">
            <v>SERVICIOS PERSONALES ASOCIADOS A LA NOMINA</v>
          </cell>
        </row>
        <row r="5">
          <cell r="A5" t="str">
            <v>Sueldos Personal de Nómina</v>
          </cell>
        </row>
        <row r="6">
          <cell r="A6" t="str">
            <v>Gastos de Representación</v>
          </cell>
        </row>
        <row r="7">
          <cell r="A7" t="str">
            <v>Horas Extras, Dominicales, Festivos, Recargo Nocturno y Trabajo Suplementario</v>
          </cell>
        </row>
        <row r="8">
          <cell r="A8" t="str">
            <v>Subsidio de Alimentación</v>
          </cell>
        </row>
        <row r="9">
          <cell r="A9" t="str">
            <v>Bonificación por Servicios Prestados</v>
          </cell>
        </row>
        <row r="10">
          <cell r="A10" t="str">
            <v>Prima Semestral</v>
          </cell>
        </row>
        <row r="11">
          <cell r="A11" t="str">
            <v>Prima de Navidad</v>
          </cell>
        </row>
        <row r="12">
          <cell r="A12" t="str">
            <v>Prima de Vacaciones</v>
          </cell>
        </row>
        <row r="13">
          <cell r="A13" t="str">
            <v>Prima Técnica</v>
          </cell>
        </row>
        <row r="14">
          <cell r="A14" t="str">
            <v>Prima de Antiguedad</v>
          </cell>
        </row>
        <row r="15">
          <cell r="A15" t="str">
            <v>Prima Secretarial</v>
          </cell>
        </row>
        <row r="16">
          <cell r="A16" t="str">
            <v>Vacaciones en Dinero</v>
          </cell>
        </row>
        <row r="17">
          <cell r="A17" t="str">
            <v>Bonificación Especial de Recreación</v>
          </cell>
        </row>
        <row r="18">
          <cell r="A18" t="str">
            <v>Reconocimiento por Permanencia en el Servicio Público</v>
          </cell>
        </row>
        <row r="19">
          <cell r="A19" t="str">
            <v>SERVICIOS PERSONALES INDIRECTOS</v>
          </cell>
        </row>
        <row r="20">
          <cell r="A20" t="str">
            <v>Honorarios</v>
          </cell>
        </row>
        <row r="21">
          <cell r="A21" t="str">
            <v>Honorarios Entidad</v>
          </cell>
        </row>
        <row r="22">
          <cell r="A22" t="str">
            <v>APORTES PATRONALES AL SECTOR PRIVADO Y PÚBLICO</v>
          </cell>
        </row>
        <row r="23">
          <cell r="A23" t="str">
            <v>Aportes Patronales Sector Privado</v>
          </cell>
        </row>
        <row r="24">
          <cell r="A24" t="str">
            <v>Cesantías Fondos Privados</v>
          </cell>
        </row>
        <row r="25">
          <cell r="A25" t="str">
            <v>Pensiones Fondos Privados</v>
          </cell>
        </row>
        <row r="26">
          <cell r="A26" t="str">
            <v>Salud EPS Privadas</v>
          </cell>
        </row>
        <row r="27">
          <cell r="A27" t="str">
            <v>Riesgos Profesionales Sector Privado</v>
          </cell>
        </row>
        <row r="28">
          <cell r="A28" t="str">
            <v>Caja de Compensación</v>
          </cell>
        </row>
        <row r="29">
          <cell r="A29" t="str">
            <v>Aportes Patronales Sector Público</v>
          </cell>
        </row>
        <row r="30">
          <cell r="A30" t="str">
            <v>Cesantías Fondos Públicos</v>
          </cell>
        </row>
        <row r="31">
          <cell r="A31" t="str">
            <v>Pensiones Fondos Públicos</v>
          </cell>
        </row>
        <row r="32">
          <cell r="A32" t="str">
            <v>Salud EPS Públicas</v>
          </cell>
        </row>
        <row r="33">
          <cell r="A33" t="str">
            <v>ICBF</v>
          </cell>
        </row>
        <row r="34">
          <cell r="A34" t="str">
            <v>SENA</v>
          </cell>
        </row>
        <row r="35">
          <cell r="A35" t="str">
            <v>Comisiones</v>
          </cell>
        </row>
        <row r="36">
          <cell r="A36" t="str">
            <v>GASTOS GENERALES</v>
          </cell>
        </row>
        <row r="37">
          <cell r="A37" t="str">
            <v>Adquisición de Bienes</v>
          </cell>
        </row>
        <row r="38">
          <cell r="A38" t="str">
            <v>Gastos de Computador</v>
          </cell>
        </row>
        <row r="39">
          <cell r="A39" t="str">
            <v>Combustibles, Lubricantes y Llantas</v>
          </cell>
        </row>
        <row r="40">
          <cell r="A40" t="str">
            <v>Materiales y Suministros</v>
          </cell>
        </row>
        <row r="41">
          <cell r="A41" t="str">
            <v>Adquisición de Servicios</v>
          </cell>
        </row>
        <row r="42">
          <cell r="A42" t="str">
            <v>Arrendamientos</v>
          </cell>
        </row>
        <row r="43">
          <cell r="A43" t="str">
            <v>Viáticos y Gastos de Viaje</v>
          </cell>
        </row>
        <row r="44">
          <cell r="A44" t="str">
            <v>Gastos de Transporte y Comunicación</v>
          </cell>
        </row>
        <row r="45">
          <cell r="A45" t="str">
            <v>Impresos y  Publicaciones</v>
          </cell>
        </row>
        <row r="46">
          <cell r="A46" t="str">
            <v>Mantenimiento y Reparaciones</v>
          </cell>
        </row>
        <row r="47">
          <cell r="A47" t="str">
            <v>Mantenimiento Entidad</v>
          </cell>
        </row>
        <row r="48">
          <cell r="A48" t="str">
            <v>Seguros</v>
          </cell>
        </row>
        <row r="49">
          <cell r="A49" t="str">
            <v>Seguros Entidad</v>
          </cell>
        </row>
        <row r="50">
          <cell r="A50" t="str">
            <v>Servicios Públicos</v>
          </cell>
        </row>
        <row r="51">
          <cell r="A51" t="str">
            <v>Energía</v>
          </cell>
        </row>
        <row r="52">
          <cell r="A52" t="str">
            <v>Acueducto y Alcantarillado</v>
          </cell>
        </row>
        <row r="53">
          <cell r="A53" t="str">
            <v>Teléfono</v>
          </cell>
        </row>
        <row r="54">
          <cell r="A54" t="str">
            <v>Capacitación</v>
          </cell>
        </row>
        <row r="55">
          <cell r="A55" t="str">
            <v>Capacitación Interna</v>
          </cell>
        </row>
        <row r="56">
          <cell r="A56" t="str">
            <v>Bienestar e Incentivos</v>
          </cell>
        </row>
        <row r="57">
          <cell r="A57" t="str">
            <v>Promoción Institucional</v>
          </cell>
        </row>
        <row r="58">
          <cell r="A58" t="str">
            <v>Salud Ocupacional</v>
          </cell>
        </row>
        <row r="59">
          <cell r="A59" t="str">
            <v>Otros Gastos Generales</v>
          </cell>
        </row>
        <row r="60">
          <cell r="A60" t="str">
            <v>Impuestos, Tasas, Contribuciones, Derechos y Multas</v>
          </cell>
        </row>
        <row r="61">
          <cell r="A61" t="str">
            <v>Intereses y Comisiones</v>
          </cell>
        </row>
        <row r="62">
          <cell r="A62" t="e">
            <v>#N/A</v>
          </cell>
        </row>
        <row r="63">
          <cell r="A63" t="str">
            <v>RESERVAS PRESUPUESTALES</v>
          </cell>
        </row>
        <row r="64">
          <cell r="A64" t="str">
            <v>GASTOS GENERALES</v>
          </cell>
        </row>
        <row r="65">
          <cell r="A65" t="str">
            <v>Adquisición de Bienes</v>
          </cell>
        </row>
        <row r="66">
          <cell r="A66" t="str">
            <v>Gastos de Computador</v>
          </cell>
        </row>
        <row r="67">
          <cell r="A67" t="str">
            <v>Combustibles, Lubricantes y Llantas</v>
          </cell>
        </row>
        <row r="68">
          <cell r="A68" t="str">
            <v>Materiales y Suministros</v>
          </cell>
        </row>
        <row r="69">
          <cell r="A69" t="str">
            <v>Adquisición de Servicios</v>
          </cell>
        </row>
        <row r="70">
          <cell r="A70" t="str">
            <v>Arrendamientos</v>
          </cell>
        </row>
        <row r="71">
          <cell r="A71" t="str">
            <v>Gastos de Transporte y Comunicación</v>
          </cell>
        </row>
        <row r="72">
          <cell r="A72" t="str">
            <v>Impresos y  Publicaciones</v>
          </cell>
        </row>
        <row r="73">
          <cell r="A73" t="str">
            <v>Mantenimiento y Reparaciones</v>
          </cell>
        </row>
        <row r="74">
          <cell r="A74" t="str">
            <v>Mantenimiento Entidad</v>
          </cell>
        </row>
        <row r="75">
          <cell r="A75" t="str">
            <v>Seguros</v>
          </cell>
        </row>
        <row r="76">
          <cell r="A76" t="str">
            <v>Seguros Entidad</v>
          </cell>
        </row>
        <row r="77">
          <cell r="A77" t="str">
            <v>Servicios Públicos</v>
          </cell>
        </row>
        <row r="78">
          <cell r="A78" t="str">
            <v>Energía</v>
          </cell>
        </row>
        <row r="79">
          <cell r="A79" t="str">
            <v>Acueducto y Alcantarillado</v>
          </cell>
        </row>
        <row r="80">
          <cell r="A80" t="str">
            <v>Teléfono</v>
          </cell>
        </row>
        <row r="81">
          <cell r="A81" t="str">
            <v>Promoción Institucional</v>
          </cell>
        </row>
        <row r="82">
          <cell r="A82" t="str">
            <v>Salud Ocupacional</v>
          </cell>
        </row>
        <row r="83">
          <cell r="A83" t="str">
            <v>Asignación no distribuida</v>
          </cell>
        </row>
        <row r="84">
          <cell r="A84" t="str">
            <v>OTROS GASTOS</v>
          </cell>
        </row>
        <row r="85">
          <cell r="A85" t="str">
            <v>INVERSIÓN</v>
          </cell>
        </row>
        <row r="86">
          <cell r="A86" t="str">
            <v>DIRECTA</v>
          </cell>
        </row>
        <row r="87">
          <cell r="A87" t="str">
            <v>Bogotá Humana</v>
          </cell>
        </row>
        <row r="88">
          <cell r="A88" t="str">
            <v>Una ciudad que supera la segregación y la discriminación: el ser humano en el centro de las preocupaciones del desarrollo
Apoyo a la economía popular, emprendimiento y productividad
</v>
          </cell>
        </row>
        <row r="89">
          <cell r="A89" t="str">
            <v>Apoyo a la economía popular, emprendimiento y productividad</v>
          </cell>
        </row>
        <row r="90">
          <cell r="A90" t="str">
            <v>163-Desarrollo turístico social y productivo de Bogotá.</v>
          </cell>
        </row>
        <row r="91">
          <cell r="A91" t="str">
            <v>164-Bogotá ciudad turística para el disfrute de todos.</v>
          </cell>
        </row>
        <row r="92">
          <cell r="A92" t="str">
            <v>Una Bogotá que defiende y fortalece lo público</v>
          </cell>
        </row>
        <row r="93">
          <cell r="A93" t="str">
            <v>Fortalecimiento de la función Administrativa y Desarrollo Institucional</v>
          </cell>
        </row>
        <row r="94">
          <cell r="A94" t="str">
            <v>235-Sistemas de mejoramiento de la gestión y de la capacidad operativa de las entidades.</v>
          </cell>
        </row>
        <row r="95">
          <cell r="A95" t="str">
            <v>Pasivos Exigibles</v>
          </cell>
        </row>
        <row r="96">
          <cell r="A96" t="str">
            <v>RESERVAS PRESUPUESTALES</v>
          </cell>
        </row>
        <row r="97">
          <cell r="A97" t="str">
            <v>Bogotá positiva: para vivir mejor</v>
          </cell>
        </row>
        <row r="98">
          <cell r="A98" t="str">
            <v>Ciudad global</v>
          </cell>
        </row>
        <row r="99">
          <cell r="A99" t="str">
            <v>Bogotá competitiva e internacional</v>
          </cell>
        </row>
        <row r="100">
          <cell r="A100" t="str">
            <v>Bogotá internacional, turística y atractiva</v>
          </cell>
        </row>
        <row r="101">
          <cell r="A101" t="str">
            <v>Fortalecimiento de la productividad y la competitividad en el sector turístico de Bogotá en su entorno regional</v>
          </cell>
        </row>
        <row r="102">
          <cell r="A102" t="str">
            <v>Gestión pública efectiva y transparente</v>
          </cell>
        </row>
        <row r="103">
          <cell r="A103" t="str">
            <v>Desarrollo institucional integral</v>
          </cell>
        </row>
        <row r="104">
          <cell r="A104" t="str">
            <v>Fortalecimiento institucional</v>
          </cell>
        </row>
        <row r="105">
          <cell r="A105" t="str">
            <v>Asignación no distribuida</v>
          </cell>
        </row>
        <row r="106">
          <cell r="A106" t="str">
            <v>OTROS GASTOS.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S"/>
      <sheetName val="Nom092014"/>
      <sheetName val="INCAPACIDADES"/>
      <sheetName val="BS"/>
      <sheetName val="Vac2012"/>
      <sheetName val="Eps"/>
      <sheetName val="Pension"/>
      <sheetName val="Hoja1"/>
      <sheetName val="Ahorro AFC"/>
      <sheetName val="Pen Vol"/>
      <sheetName val="Coopebis"/>
      <sheetName val="Coop Alianza"/>
      <sheetName val="Asogobierno"/>
      <sheetName val="Retefuente"/>
      <sheetName val="Sinalserpub"/>
      <sheetName val="Davivienda"/>
      <sheetName val="Coocrenorte"/>
      <sheetName val="SEGUROS POSITIVA"/>
      <sheetName val="soldados luz"/>
      <sheetName val="R Profesionales"/>
      <sheetName val="C Compensacion"/>
      <sheetName val="Sena"/>
      <sheetName val="Icbf"/>
      <sheetName val="FNA"/>
      <sheetName val="FONCEP"/>
      <sheetName val="AFC"/>
      <sheetName val="encargo angela guzman"/>
      <sheetName val="VALIDACION CDP Y CRP"/>
      <sheetName val="PENSION VOLUNTARIA"/>
      <sheetName val="AUMENTO 2013"/>
      <sheetName val="Coocultur"/>
      <sheetName val="RECONOCIMIENTO POR PERMANENCIA"/>
      <sheetName val="RETENCION EN LA FUENTE"/>
      <sheetName val="calculo vacaciones deisy murcia"/>
      <sheetName val="Hoja4"/>
      <sheetName val="incapacidad"/>
      <sheetName val="Hoja2"/>
      <sheetName val="DATOS"/>
    </sheetNames>
    <sheetDataSet>
      <sheetData sheetId="13">
        <row r="46">
          <cell r="D46">
            <v>26841</v>
          </cell>
          <cell r="E46">
            <v>26841</v>
          </cell>
        </row>
      </sheetData>
    </sheetDataSet>
  </externalBook>
</externalLink>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landa.tovar@idt.gov.co" TargetMode="External" /><Relationship Id="rId2" Type="http://schemas.openxmlformats.org/officeDocument/2006/relationships/hyperlink" Target="mailto:claudia.cifuentes@idt.gov.co" TargetMode="External" /><Relationship Id="rId3" Type="http://schemas.openxmlformats.org/officeDocument/2006/relationships/hyperlink" Target="mailto:dumar.carvajal@idt.gov.co" TargetMode="External" /><Relationship Id="rId4" Type="http://schemas.openxmlformats.org/officeDocument/2006/relationships/hyperlink" Target="mailto:karol.fajardo@idt.gov.co" TargetMode="External" /><Relationship Id="rId5" Type="http://schemas.openxmlformats.org/officeDocument/2006/relationships/hyperlink" Target="mailto:jenny.pena@idt.gov.co" TargetMode="External" /><Relationship Id="rId6" Type="http://schemas.openxmlformats.org/officeDocument/2006/relationships/hyperlink" Target="mailto:claudia.triana@idt.gov.co" TargetMode="External" /><Relationship Id="rId7" Type="http://schemas.openxmlformats.org/officeDocument/2006/relationships/hyperlink" Target="mailto:soraida.diaz@idt.gov.co" TargetMode="External" /><Relationship Id="rId8" Type="http://schemas.openxmlformats.org/officeDocument/2006/relationships/hyperlink" Target="mailto:diego.vargas@idt.gov.co" TargetMode="External" /><Relationship Id="rId9" Type="http://schemas.openxmlformats.org/officeDocument/2006/relationships/hyperlink" Target="mailto:luis.suarez@idt.gov.co" TargetMode="External" /><Relationship Id="rId10" Type="http://schemas.openxmlformats.org/officeDocument/2006/relationships/hyperlink" Target="mailto:diana.carranza@idt.gov.co" TargetMode="External" /><Relationship Id="rId11" Type="http://schemas.openxmlformats.org/officeDocument/2006/relationships/hyperlink" Target="mailto:german.almeida@idt.gov.co" TargetMode="External" /><Relationship Id="rId12" Type="http://schemas.openxmlformats.org/officeDocument/2006/relationships/hyperlink" Target="mailto:angela.pinzon@idt.gov.co" TargetMode="External" /><Relationship Id="rId13" Type="http://schemas.openxmlformats.org/officeDocument/2006/relationships/hyperlink" Target="mailto:diana.rios@idt.gov.co" TargetMode="External" /><Relationship Id="rId14" Type="http://schemas.openxmlformats.org/officeDocument/2006/relationships/hyperlink" Target="mailto:sandra.penuela@idt.gov.co" TargetMode="External" /><Relationship Id="rId15" Type="http://schemas.openxmlformats.org/officeDocument/2006/relationships/hyperlink" Target="mailto:cesar.herrera@idt.gov.co" TargetMode="External" /><Relationship Id="rId16" Type="http://schemas.openxmlformats.org/officeDocument/2006/relationships/hyperlink" Target="mailto:juan.lamar@idt.gov.co" TargetMode="External" /><Relationship Id="rId17" Type="http://schemas.openxmlformats.org/officeDocument/2006/relationships/hyperlink" Target="mailto:damaris.lagos@idt.gov.co" TargetMode="External" /><Relationship Id="rId18" Type="http://schemas.openxmlformats.org/officeDocument/2006/relationships/hyperlink" Target="mailto:lina.novoal@idt.gov.co" TargetMode="External" /><Relationship Id="rId19" Type="http://schemas.openxmlformats.org/officeDocument/2006/relationships/hyperlink" Target="mailto:edwin.pena@idt.gov.co" TargetMode="External" /><Relationship Id="rId20" Type="http://schemas.openxmlformats.org/officeDocument/2006/relationships/hyperlink" Target="mailto:zulma.walteros@idt.gov.co" TargetMode="External" /><Relationship Id="rId21" Type="http://schemas.openxmlformats.org/officeDocument/2006/relationships/hyperlink" Target="mailto:catalina.galindo@idt.gov.co" TargetMode="External" /><Relationship Id="rId22" Type="http://schemas.openxmlformats.org/officeDocument/2006/relationships/hyperlink" Target="mailto:edison.sarache@idt.gov.co" TargetMode="External" /><Relationship Id="rId23" Type="http://schemas.openxmlformats.org/officeDocument/2006/relationships/hyperlink" Target="mailto:claudia.agudelo@idt.gov.co" TargetMode="External" /><Relationship Id="rId24" Type="http://schemas.openxmlformats.org/officeDocument/2006/relationships/hyperlink" Target="mailto:alberto.amaya@idt.gov.co" TargetMode="External" /><Relationship Id="rId25" Type="http://schemas.openxmlformats.org/officeDocument/2006/relationships/hyperlink" Target="mailto:claudia.barrera@idt.gov.co" TargetMode="External" /><Relationship Id="rId26" Type="http://schemas.openxmlformats.org/officeDocument/2006/relationships/hyperlink" Target="mailto:jorge.ramirez@idt.gov.co" TargetMode="External" /><Relationship Id="rId27" Type="http://schemas.openxmlformats.org/officeDocument/2006/relationships/hyperlink" Target="mailto:mauricio.ospina@idt.gov.co" TargetMode="External" /><Relationship Id="rId28" Type="http://schemas.openxmlformats.org/officeDocument/2006/relationships/hyperlink" Target="mailto:natalia.echavarria@idt.gov.co" TargetMode="External" /><Relationship Id="rId29" Type="http://schemas.openxmlformats.org/officeDocument/2006/relationships/hyperlink" Target="mailto:judith.borda@idt.gov.co" TargetMode="External" /><Relationship Id="rId30" Type="http://schemas.openxmlformats.org/officeDocument/2006/relationships/hyperlink" Target="mailto:william.heredia@idt.gov.co" TargetMode="External" /><Relationship Id="rId31" Type="http://schemas.openxmlformats.org/officeDocument/2006/relationships/hyperlink" Target="mailto:erin.martinez@idt.gov.co" TargetMode="External" /><Relationship Id="rId32" Type="http://schemas.openxmlformats.org/officeDocument/2006/relationships/hyperlink" Target="mailto:liliana.carmona@idt.gov.co" TargetMode="External" /><Relationship Id="rId33" Type="http://schemas.openxmlformats.org/officeDocument/2006/relationships/hyperlink" Target="mailto:camila.benitez@idt.gov.co" TargetMode="External" /><Relationship Id="rId34" Type="http://schemas.openxmlformats.org/officeDocument/2006/relationships/hyperlink" Target="mailto:nelcy.hernandez@idt.gov.co" TargetMode="External" /><Relationship Id="rId35" Type="http://schemas.openxmlformats.org/officeDocument/2006/relationships/hyperlink" Target="mailto:rene.guarin@idt.gov.co" TargetMode="External" /><Relationship Id="rId36" Type="http://schemas.openxmlformats.org/officeDocument/2006/relationships/hyperlink" Target="mailto:german.montoya@idt.gov.co" TargetMode="External" /><Relationship Id="rId37" Type="http://schemas.openxmlformats.org/officeDocument/2006/relationships/hyperlink" Target="mailto:veronica.arbelaez@idt.gov.co" TargetMode="External" /><Relationship Id="rId38" Type="http://schemas.openxmlformats.org/officeDocument/2006/relationships/hyperlink" Target="mailto:jimmy.pulido@idt.gov.co" TargetMode="External" /><Relationship Id="rId39" Type="http://schemas.openxmlformats.org/officeDocument/2006/relationships/hyperlink" Target="mailto:andres.clavijo@idt.gov.co" TargetMode="External" /><Relationship Id="rId40" Type="http://schemas.openxmlformats.org/officeDocument/2006/relationships/hyperlink" Target="mailto:veronica.zambrano@idt.gov.co" TargetMode="External" /><Relationship Id="rId41" Type="http://schemas.openxmlformats.org/officeDocument/2006/relationships/hyperlink" Target="mailto:luz.angel@idt.gov.co" TargetMode="External" /><Relationship Id="rId42" Type="http://schemas.openxmlformats.org/officeDocument/2006/relationships/hyperlink" Target="mailto:yenny.romero@idt.gov.co" TargetMode="External" /><Relationship Id="rId43" Type="http://schemas.openxmlformats.org/officeDocument/2006/relationships/hyperlink" Target="mailto:johanna.@ospina@idt.gov.co" TargetMode="External" /><Relationship Id="rId44" Type="http://schemas.openxmlformats.org/officeDocument/2006/relationships/hyperlink" Target="mailto:paola.arlant@idt.gov.co" TargetMode="External" /><Relationship Id="rId45" Type="http://schemas.openxmlformats.org/officeDocument/2006/relationships/drawing" Target="../drawings/drawing1.xml" /><Relationship Id="rId46" Type="http://schemas.openxmlformats.org/officeDocument/2006/relationships/vmlDrawing" Target="../drawings/vmlDrawing1.vml" /><Relationship Id="rId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mailto:gustavo.hernandez@idt.gov.co" TargetMode="External" /><Relationship Id="rId2" Type="http://schemas.openxmlformats.org/officeDocument/2006/relationships/hyperlink" Target="mailto:andrea.buitrago@idt.gov.co" TargetMode="External" /><Relationship Id="rId3" Type="http://schemas.openxmlformats.org/officeDocument/2006/relationships/hyperlink" Target="mailto:gladys.mendoza@idt.gov.co" TargetMode="External" /><Relationship Id="rId4" Type="http://schemas.openxmlformats.org/officeDocument/2006/relationships/hyperlink" Target="mailto:juan.gacharna@idt.gov.co" TargetMode="External" /><Relationship Id="rId5" Type="http://schemas.openxmlformats.org/officeDocument/2006/relationships/hyperlink" Target="mailto:cindy.calderon@idt.gov.co" TargetMode="External" /><Relationship Id="rId6" Type="http://schemas.openxmlformats.org/officeDocument/2006/relationships/hyperlink" Target="mailto:daniel.guerrero@idt.gov.co" TargetMode="External" /><Relationship Id="rId7" Type="http://schemas.openxmlformats.org/officeDocument/2006/relationships/hyperlink" Target="mailto:maria.gomez@idt.gov.co" TargetMode="External" /><Relationship Id="rId8" Type="http://schemas.openxmlformats.org/officeDocument/2006/relationships/hyperlink" Target="mailto:viviana.marcela@idt.gov.co" TargetMode="External" /><Relationship Id="rId9" Type="http://schemas.openxmlformats.org/officeDocument/2006/relationships/hyperlink" Target="mailto:zeida.bohorquez@idt.gov.co" TargetMode="External" /><Relationship Id="rId10" Type="http://schemas.openxmlformats.org/officeDocument/2006/relationships/hyperlink" Target="mailto:camila.rocha@idt.gov.co" TargetMode="External" /><Relationship Id="rId11" Type="http://schemas.openxmlformats.org/officeDocument/2006/relationships/hyperlink" Target="mailto:jennifer.mogollon@idt.gov.co" TargetMode="External" /><Relationship Id="rId12" Type="http://schemas.openxmlformats.org/officeDocument/2006/relationships/hyperlink" Target="mailto:william.martinez@idt.gov.co" TargetMode="External" /><Relationship Id="rId13" Type="http://schemas.openxmlformats.org/officeDocument/2006/relationships/hyperlink" Target="mailto:johana.lamilla@idt.gov.co" TargetMode="External" /><Relationship Id="rId14" Type="http://schemas.openxmlformats.org/officeDocument/2006/relationships/hyperlink" Target="mailto:kattia.pinzon@idt.gov.co" TargetMode="External" /><Relationship Id="rId15" Type="http://schemas.openxmlformats.org/officeDocument/2006/relationships/hyperlink" Target="mailto:paola.sanchez@idt.gov.co" TargetMode="External" /><Relationship Id="rId16" Type="http://schemas.openxmlformats.org/officeDocument/2006/relationships/hyperlink" Target="mailto:myriam.bocarejo@idt.gov.co" TargetMode="External" /><Relationship Id="rId17" Type="http://schemas.openxmlformats.org/officeDocument/2006/relationships/hyperlink" Target="mailto:david.ruiz@idt.gov.co" TargetMode="External" /><Relationship Id="rId18" Type="http://schemas.openxmlformats.org/officeDocument/2006/relationships/hyperlink" Target="mailto:hector.narvaez@idt.gov.co" TargetMode="External" /><Relationship Id="rId19" Type="http://schemas.openxmlformats.org/officeDocument/2006/relationships/hyperlink" Target="mailto:ivon.arias@idt.gov.co" TargetMode="External" /><Relationship Id="rId20" Type="http://schemas.openxmlformats.org/officeDocument/2006/relationships/hyperlink" Target="mailto:luis.ramirez@idt.gov.co" TargetMode="External" /><Relationship Id="rId21" Type="http://schemas.openxmlformats.org/officeDocument/2006/relationships/hyperlink" Target="mailto:paula.martinez@idt.gov.co" TargetMode="External" /><Relationship Id="rId22" Type="http://schemas.openxmlformats.org/officeDocument/2006/relationships/hyperlink" Target="mailto:laura.monroy@idt.gov.co" TargetMode="External" /><Relationship Id="rId23" Type="http://schemas.openxmlformats.org/officeDocument/2006/relationships/hyperlink" Target="mailto:marcos.rodriguez@idt.gov.co" TargetMode="External" /><Relationship Id="rId24" Type="http://schemas.openxmlformats.org/officeDocument/2006/relationships/hyperlink" Target="mailto:luz.beltran@idt.gov.co" TargetMode="External" /><Relationship Id="rId25" Type="http://schemas.openxmlformats.org/officeDocument/2006/relationships/hyperlink" Target="mailto:johan.carvajal@idt.gov.co" TargetMode="External" /><Relationship Id="rId26" Type="http://schemas.openxmlformats.org/officeDocument/2006/relationships/hyperlink" Target="mailto:jessica.angel@idt.gov.co" TargetMode="External" /><Relationship Id="rId27" Type="http://schemas.openxmlformats.org/officeDocument/2006/relationships/hyperlink" Target="mailto:guillermo.ramirez@idt.gov.co" TargetMode="External" /><Relationship Id="rId28" Type="http://schemas.openxmlformats.org/officeDocument/2006/relationships/hyperlink" Target="mailto:cristian.diaz@idt.gov.co" TargetMode="External" /><Relationship Id="rId29" Type="http://schemas.openxmlformats.org/officeDocument/2006/relationships/hyperlink" Target="mailto:valeria.mu&#241;eton@idt.gov.co" TargetMode="External" /><Relationship Id="rId30" Type="http://schemas.openxmlformats.org/officeDocument/2006/relationships/hyperlink" Target="mailto:karina.celon@idt.gov.co" TargetMode="External" /><Relationship Id="rId31" Type="http://schemas.openxmlformats.org/officeDocument/2006/relationships/hyperlink" Target="mailto:angie.alvarado@idt.gov.co" TargetMode="External" /><Relationship Id="rId32" Type="http://schemas.openxmlformats.org/officeDocument/2006/relationships/hyperlink" Target="mailto:kris.zapata@idt.gov.co" TargetMode="External" /><Relationship Id="rId33" Type="http://schemas.openxmlformats.org/officeDocument/2006/relationships/hyperlink" Target="mailto:maria.villota@idt.gov.co" TargetMode="External" /><Relationship Id="rId34" Type="http://schemas.openxmlformats.org/officeDocument/2006/relationships/hyperlink" Target="mailto:martha.ramirez@idt.gov.co" TargetMode="External" /><Relationship Id="rId35" Type="http://schemas.openxmlformats.org/officeDocument/2006/relationships/hyperlink" Target="mailto:claudia.gonzalez@idt.gov.co" TargetMode="External" /><Relationship Id="rId36" Type="http://schemas.openxmlformats.org/officeDocument/2006/relationships/hyperlink" Target="mailto:fredy.carrera@idt.gov.co" TargetMode="External" /><Relationship Id="rId37" Type="http://schemas.openxmlformats.org/officeDocument/2006/relationships/hyperlink" Target="mailto:loreydy.daza@idt.gov.co" TargetMode="External" /><Relationship Id="rId38" Type="http://schemas.openxmlformats.org/officeDocument/2006/relationships/hyperlink" Target="mailto:david.zuluaga@idt.gov.co" TargetMode="External" /><Relationship Id="rId39" Type="http://schemas.openxmlformats.org/officeDocument/2006/relationships/hyperlink" Target="mailto:alison.bernal@idt.gov.co" TargetMode="External" /><Relationship Id="rId40" Type="http://schemas.openxmlformats.org/officeDocument/2006/relationships/hyperlink" Target="mailto:camila.rodriguez@idt.gov.co" TargetMode="External" /><Relationship Id="rId41" Type="http://schemas.openxmlformats.org/officeDocument/2006/relationships/hyperlink" Target="mailto:lina.losada@idt.gov.co" TargetMode="External" /><Relationship Id="rId42" Type="http://schemas.openxmlformats.org/officeDocument/2006/relationships/hyperlink" Target="mailto:ana.garcia@idt.gov.co" TargetMode="External" /><Relationship Id="rId43" Type="http://schemas.openxmlformats.org/officeDocument/2006/relationships/hyperlink" Target="mailto:lesly.chacon@idt.gov.co" TargetMode="External" /><Relationship Id="rId44" Type="http://schemas.openxmlformats.org/officeDocument/2006/relationships/hyperlink" Target="mailto:briyith.reyes@idt.gov.co" TargetMode="External" /><Relationship Id="rId45" Type="http://schemas.openxmlformats.org/officeDocument/2006/relationships/hyperlink" Target="mailto:andres.espinosa@idt.gov.co" TargetMode="External" /><Relationship Id="rId46" Type="http://schemas.openxmlformats.org/officeDocument/2006/relationships/hyperlink" Target="mailto:viviana.florez@idt.gov.co" TargetMode="External" /><Relationship Id="rId47" Type="http://schemas.openxmlformats.org/officeDocument/2006/relationships/hyperlink" Target="mailto:diana.sanchez@idt.gov.co" TargetMode="External" /><Relationship Id="rId48" Type="http://schemas.openxmlformats.org/officeDocument/2006/relationships/hyperlink" Target="mailto:leonel.carrillo@idt.gov.co" TargetMode="External" /><Relationship Id="rId49" Type="http://schemas.openxmlformats.org/officeDocument/2006/relationships/hyperlink" Target="mailto:maria.aguilera@idt.gov.co" TargetMode="External" /><Relationship Id="rId50" Type="http://schemas.openxmlformats.org/officeDocument/2006/relationships/hyperlink" Target="mailto:ayda.rodriguez@idt.gov.co" TargetMode="External" /><Relationship Id="rId51" Type="http://schemas.openxmlformats.org/officeDocument/2006/relationships/hyperlink" Target="mailto:carlos.florez@idt.gov.co" TargetMode="External" /><Relationship Id="rId52" Type="http://schemas.openxmlformats.org/officeDocument/2006/relationships/hyperlink" Target="mailto:nancy.vargas@idt.gov.co" TargetMode="External" /><Relationship Id="rId53" Type="http://schemas.openxmlformats.org/officeDocument/2006/relationships/hyperlink" Target="mailto:bismarck.caicedo@idt.gov.co" TargetMode="External" /><Relationship Id="rId54" Type="http://schemas.openxmlformats.org/officeDocument/2006/relationships/hyperlink" Target="mailto:hector.garcia@idt.gov.co" TargetMode="External" /><Relationship Id="rId55" Type="http://schemas.openxmlformats.org/officeDocument/2006/relationships/hyperlink" Target="mailto:jose.torres@idt.gov.co" TargetMode="External" /><Relationship Id="rId56" Type="http://schemas.openxmlformats.org/officeDocument/2006/relationships/hyperlink" Target="mailto:victor.fernandez@idt.gov.co" TargetMode="External" /><Relationship Id="rId57" Type="http://schemas.openxmlformats.org/officeDocument/2006/relationships/hyperlink" Target="mailto:luis.moncaleano@idt.gov.co" TargetMode="External" /><Relationship Id="rId58" Type="http://schemas.openxmlformats.org/officeDocument/2006/relationships/hyperlink" Target="mailto:natalia.bocanegra@idt.gov.co" TargetMode="External" /><Relationship Id="rId59" Type="http://schemas.openxmlformats.org/officeDocument/2006/relationships/hyperlink" Target="mailto:diego.rodriguez@idt.gov.co" TargetMode="External" /><Relationship Id="rId60" Type="http://schemas.openxmlformats.org/officeDocument/2006/relationships/hyperlink" Target="mailto:jhon.mu&#241;oz@idt.gov.co" TargetMode="External" /><Relationship Id="rId61" Type="http://schemas.openxmlformats.org/officeDocument/2006/relationships/hyperlink" Target="mailto:catalina.orjuela@idt.gov.co" TargetMode="External" /><Relationship Id="rId62" Type="http://schemas.openxmlformats.org/officeDocument/2006/relationships/hyperlink" Target="mailto:andres.castellanos@idt.gov.co" TargetMode="External" /><Relationship Id="rId63" Type="http://schemas.openxmlformats.org/officeDocument/2006/relationships/hyperlink" Target="mailto:camila.gomez@idt.gov.co" TargetMode="External" /><Relationship Id="rId64" Type="http://schemas.openxmlformats.org/officeDocument/2006/relationships/hyperlink" Target="mailto:angela.pantoja@idt.gov.co" TargetMode="External" /><Relationship Id="rId65" Type="http://schemas.openxmlformats.org/officeDocument/2006/relationships/hyperlink" Target="mailto:laura.mirque@idt.gov.co" TargetMode="External" /><Relationship Id="rId66" Type="http://schemas.openxmlformats.org/officeDocument/2006/relationships/hyperlink" Target="mailto:diana.rozo@idt.gov.co" TargetMode="External" /><Relationship Id="rId67" Type="http://schemas.openxmlformats.org/officeDocument/2006/relationships/hyperlink" Target="mailto:mile.pi&#241;eros@idt.gov.co" TargetMode="External" /><Relationship Id="rId68" Type="http://schemas.openxmlformats.org/officeDocument/2006/relationships/hyperlink" Target="mailto:jose.becerra@idt.gov.co" TargetMode="External" /><Relationship Id="rId69" Type="http://schemas.openxmlformats.org/officeDocument/2006/relationships/hyperlink" Target="mailto:maria.bejarano@idt.gov.co" TargetMode="External" /><Relationship Id="rId70" Type="http://schemas.openxmlformats.org/officeDocument/2006/relationships/hyperlink" Target="mailto:katheryn.cabrera@idt.gov.co" TargetMode="External" /><Relationship Id="rId71" Type="http://schemas.openxmlformats.org/officeDocument/2006/relationships/hyperlink" Target="mailto:erick.pinzon@idt.gov.co" TargetMode="External" /><Relationship Id="rId72" Type="http://schemas.openxmlformats.org/officeDocument/2006/relationships/hyperlink" Target="mailto:sergio.arevalo@idt.gov.co" TargetMode="External" /><Relationship Id="rId73" Type="http://schemas.openxmlformats.org/officeDocument/2006/relationships/hyperlink" Target="mailto:lorena.mora@idt.gov.co" TargetMode="External" /><Relationship Id="rId74" Type="http://schemas.openxmlformats.org/officeDocument/2006/relationships/hyperlink" Target="mailto:flor.ostos@idt.gov.co" TargetMode="External" /><Relationship Id="rId75" Type="http://schemas.openxmlformats.org/officeDocument/2006/relationships/hyperlink" Target="mailto:moises.rojas@idt.gov.co" TargetMode="External" /><Relationship Id="rId76" Type="http://schemas.openxmlformats.org/officeDocument/2006/relationships/hyperlink" Target="mailto:carolina.caceres@idt.gov.co" TargetMode="External" /><Relationship Id="rId77" Type="http://schemas.openxmlformats.org/officeDocument/2006/relationships/hyperlink" Target="mailto:luis.calderon@idt.gov.co" TargetMode="External" /><Relationship Id="rId78" Type="http://schemas.openxmlformats.org/officeDocument/2006/relationships/hyperlink" Target="mailto:abel.bernal@idt.gov.co" TargetMode="External" /><Relationship Id="rId79" Type="http://schemas.openxmlformats.org/officeDocument/2006/relationships/hyperlink" Target="mailto:angelica.cardenas@idt.gov.co" TargetMode="External" /><Relationship Id="rId80" Type="http://schemas.openxmlformats.org/officeDocument/2006/relationships/hyperlink" Target="mailto:martha.castellanos@idt.gov.co" TargetMode="External" /><Relationship Id="rId81" Type="http://schemas.openxmlformats.org/officeDocument/2006/relationships/hyperlink" Target="mailto:rocio.melo@idt.gov.co" TargetMode="External" /><Relationship Id="rId82" Type="http://schemas.openxmlformats.org/officeDocument/2006/relationships/hyperlink" Target="mailto:julio.murcia@idt.gov.co" TargetMode="External" /><Relationship Id="rId83" Type="http://schemas.openxmlformats.org/officeDocument/2006/relationships/hyperlink" Target="mailto:martha.correa@idt.gov.co" TargetMode="External" /><Relationship Id="rId84" Type="http://schemas.openxmlformats.org/officeDocument/2006/relationships/hyperlink" Target="mailto:yenny.ortiz@idt.gov.co" TargetMode="External" /><Relationship Id="rId85" Type="http://schemas.openxmlformats.org/officeDocument/2006/relationships/hyperlink" Target="mailto:daniel.hernandez@idt.gov.co" TargetMode="External" /><Relationship Id="rId86" Type="http://schemas.openxmlformats.org/officeDocument/2006/relationships/hyperlink" Target="mailto:natalia.cadena@idt.gov.co" TargetMode="External" /><Relationship Id="rId87" Type="http://schemas.openxmlformats.org/officeDocument/2006/relationships/hyperlink" Target="mailto:douglas.chanaga@idt.gov.co" TargetMode="External" /><Relationship Id="rId88" Type="http://schemas.openxmlformats.org/officeDocument/2006/relationships/hyperlink" Target="mailto:edwin.vergara@idt.gov.co" TargetMode="External" /><Relationship Id="rId89" Type="http://schemas.openxmlformats.org/officeDocument/2006/relationships/hyperlink" Target="mailto:natalia.valencia@idt.gov.co" TargetMode="External" /><Relationship Id="rId90" Type="http://schemas.openxmlformats.org/officeDocument/2006/relationships/hyperlink" Target="mailto:yineth.vargas@idt.gov.co" TargetMode="External" /><Relationship Id="rId91" Type="http://schemas.openxmlformats.org/officeDocument/2006/relationships/hyperlink" Target="mailto:jesus.vargas@idt.gov.co" TargetMode="External" /><Relationship Id="rId92" Type="http://schemas.openxmlformats.org/officeDocument/2006/relationships/hyperlink" Target="mailto:angelica.reyes@idt.gov.co" TargetMode="External" /><Relationship Id="rId93" Type="http://schemas.openxmlformats.org/officeDocument/2006/relationships/hyperlink" Target="mailto:myriam.monta&#241;o@idt.gov.co" TargetMode="External" /><Relationship Id="rId94" Type="http://schemas.openxmlformats.org/officeDocument/2006/relationships/hyperlink" Target="mailto:maira.robles@idt.gov.co" TargetMode="External" /><Relationship Id="rId95" Type="http://schemas.openxmlformats.org/officeDocument/2006/relationships/hyperlink" Target="mailto:edward.suarez@idt.gov.co" TargetMode="External" /><Relationship Id="rId96" Type="http://schemas.openxmlformats.org/officeDocument/2006/relationships/hyperlink" Target="mailto:andres.tellez@idt.gov.co" TargetMode="External" /><Relationship Id="rId97" Type="http://schemas.openxmlformats.org/officeDocument/2006/relationships/hyperlink" Target="mailto:ginna.rodriguez@idt.gov.co" TargetMode="External" /><Relationship Id="rId98" Type="http://schemas.openxmlformats.org/officeDocument/2006/relationships/hyperlink" Target="mailto:carlos.candela@idt.gov.co" TargetMode="External" /><Relationship Id="rId99" Type="http://schemas.openxmlformats.org/officeDocument/2006/relationships/hyperlink" Target="mailto:germ&#225;n.garc&#237;a@idt.gov.co" TargetMode="External" /><Relationship Id="rId100" Type="http://schemas.openxmlformats.org/officeDocument/2006/relationships/hyperlink" Target="mailto:paula.echeverri@idt.gov.co" TargetMode="External" /><Relationship Id="rId101" Type="http://schemas.openxmlformats.org/officeDocument/2006/relationships/hyperlink" Target="mailto:ruby.bonilla@idt.gov.co" TargetMode="External" /><Relationship Id="rId102" Type="http://schemas.openxmlformats.org/officeDocument/2006/relationships/hyperlink" Target="mailto:luis.g&#243;mez@idt.gov.co" TargetMode="External" /><Relationship Id="rId103" Type="http://schemas.openxmlformats.org/officeDocument/2006/relationships/hyperlink" Target="mailto:jhon.acu&#241;a@idt.gov.co" TargetMode="External" /><Relationship Id="rId104" Type="http://schemas.openxmlformats.org/officeDocument/2006/relationships/hyperlink" Target="mailto:ivan.diaz@idt.gov.co" TargetMode="External" /><Relationship Id="rId105" Type="http://schemas.openxmlformats.org/officeDocument/2006/relationships/hyperlink" Target="mailto:julian.roncancio@idt.gov.co" TargetMode="External" /><Relationship Id="rId106" Type="http://schemas.openxmlformats.org/officeDocument/2006/relationships/hyperlink" Target="mailto:lorena.moreno@idt.gov.co" TargetMode="External" /><Relationship Id="rId107" Type="http://schemas.openxmlformats.org/officeDocument/2006/relationships/hyperlink" Target="mailto:lorena.hernandez@idt.gov.co" TargetMode="External" /><Relationship Id="rId108" Type="http://schemas.openxmlformats.org/officeDocument/2006/relationships/hyperlink" Target="mailto:weimar.rojas@idt.gov.co" TargetMode="External" /><Relationship Id="rId109" Type="http://schemas.openxmlformats.org/officeDocument/2006/relationships/hyperlink" Target="mailto:freiman.martin@idt.gov.co" TargetMode="External" /><Relationship Id="rId110" Type="http://schemas.openxmlformats.org/officeDocument/2006/relationships/hyperlink" Target="mailto:alberto.garcia@idt.gov.co" TargetMode="External" /><Relationship Id="rId111" Type="http://schemas.openxmlformats.org/officeDocument/2006/relationships/hyperlink" Target="mailto:ruben.paz@idt.gov.co" TargetMode="External" /><Relationship Id="rId112" Type="http://schemas.openxmlformats.org/officeDocument/2006/relationships/hyperlink" Target="mailto:estephanni.casta&#241;eda@idt.gov.co" TargetMode="External" /><Relationship Id="rId113" Type="http://schemas.openxmlformats.org/officeDocument/2006/relationships/hyperlink" Target="mailto:santiago.aviles@idt.gov.co" TargetMode="External" /><Relationship Id="rId114" Type="http://schemas.openxmlformats.org/officeDocument/2006/relationships/hyperlink" Target="mailto:nestor.goyes@idt.gov.co" TargetMode="External" /><Relationship Id="rId115" Type="http://schemas.openxmlformats.org/officeDocument/2006/relationships/hyperlink" Target="mailto:jorge.moreno@idt.gov.co" TargetMode="External" /><Relationship Id="rId116" Type="http://schemas.openxmlformats.org/officeDocument/2006/relationships/hyperlink" Target="mailto:renzo.renzo@idt.gov.co" TargetMode="External" /><Relationship Id="rId117" Type="http://schemas.openxmlformats.org/officeDocument/2006/relationships/hyperlink" Target="mailto:ricardo.velandia@idt.gov.co" TargetMode="External" /><Relationship Id="rId118" Type="http://schemas.openxmlformats.org/officeDocument/2006/relationships/hyperlink" Target="mailto:john.ramos@idt.gov.co" TargetMode="External" /><Relationship Id="rId119" Type="http://schemas.openxmlformats.org/officeDocument/2006/relationships/hyperlink" Target="mailto:duberney.ochica@idt.gov.co" TargetMode="External" /><Relationship Id="rId120" Type="http://schemas.openxmlformats.org/officeDocument/2006/relationships/hyperlink" Target="mailto:angela.clavijo@idt.gov.co" TargetMode="External" /><Relationship Id="rId121" Type="http://schemas.openxmlformats.org/officeDocument/2006/relationships/hyperlink" Target="mailto:juan.ospina@idt.gov.co" TargetMode="External" /><Relationship Id="rId122" Type="http://schemas.openxmlformats.org/officeDocument/2006/relationships/hyperlink" Target="mailto:esteban.vargas@idt.gov.co" TargetMode="External" /><Relationship Id="rId123" Type="http://schemas.openxmlformats.org/officeDocument/2006/relationships/hyperlink" Target="mailto:wilson.martin@idt.gov.co" TargetMode="External" /><Relationship Id="rId124" Type="http://schemas.openxmlformats.org/officeDocument/2006/relationships/hyperlink" Target="mailto:andr&#233;s.castillo@idt.gov.co" TargetMode="External" /><Relationship Id="rId125" Type="http://schemas.openxmlformats.org/officeDocument/2006/relationships/hyperlink" Target="mailto:juber.uriza@idt.gov.co" TargetMode="External" /><Relationship Id="rId126" Type="http://schemas.openxmlformats.org/officeDocument/2006/relationships/hyperlink" Target="mailto:maria.arevalo@idt.gov.co" TargetMode="External" /><Relationship Id="rId127" Type="http://schemas.openxmlformats.org/officeDocument/2006/relationships/hyperlink" Target="mailto:daniel.ruiz@idt.gov.co" TargetMode="External" /><Relationship Id="rId128" Type="http://schemas.openxmlformats.org/officeDocument/2006/relationships/hyperlink" Target="mailto:laura.chaves@idt.gov.co" TargetMode="External" /><Relationship Id="rId129" Type="http://schemas.openxmlformats.org/officeDocument/2006/relationships/hyperlink" Target="mailto:diego.alvarez@idt.gov.co" TargetMode="External" /><Relationship Id="rId130" Type="http://schemas.openxmlformats.org/officeDocument/2006/relationships/hyperlink" Target="mailto:jeimmy.rios@idt.gov.co" TargetMode="External" /><Relationship Id="rId131" Type="http://schemas.openxmlformats.org/officeDocument/2006/relationships/hyperlink" Target="mailto:laura.ordo&#241;ez@idt.gov.co" TargetMode="External" /><Relationship Id="rId132" Type="http://schemas.openxmlformats.org/officeDocument/2006/relationships/hyperlink" Target="mailto:ruth.sierra@idt.gov.co" TargetMode="External" /><Relationship Id="rId133" Type="http://schemas.openxmlformats.org/officeDocument/2006/relationships/hyperlink" Target="mailto:eliecer.dur&#225;n@idt.gov.co" TargetMode="External" /><Relationship Id="rId134" Type="http://schemas.openxmlformats.org/officeDocument/2006/relationships/hyperlink" Target="mailto:yeison.yeison@idt.gov.co" TargetMode="External" /><Relationship Id="rId135" Type="http://schemas.openxmlformats.org/officeDocument/2006/relationships/hyperlink" Target="mailto:genoveva.genoveva@idt.gov.co" TargetMode="External" /><Relationship Id="rId136" Type="http://schemas.openxmlformats.org/officeDocument/2006/relationships/hyperlink" Target="mailto:carlos.moreno@idt.gov.co" TargetMode="External" /><Relationship Id="rId137" Type="http://schemas.openxmlformats.org/officeDocument/2006/relationships/hyperlink" Target="mailto:norma.aquite@idt.gov.co" TargetMode="External" /><Relationship Id="rId138" Type="http://schemas.openxmlformats.org/officeDocument/2006/relationships/hyperlink" Target="mailto:jorge.moreno@idt.gov.co" TargetMode="External" /><Relationship Id="rId139" Type="http://schemas.openxmlformats.org/officeDocument/2006/relationships/hyperlink" Target="mailto:luisa.luisa@idt.gov.co" TargetMode="External" /><Relationship Id="rId140" Type="http://schemas.openxmlformats.org/officeDocument/2006/relationships/hyperlink" Target="mailto:maria.torres@idt.gov.co" TargetMode="External" /><Relationship Id="rId141" Type="http://schemas.openxmlformats.org/officeDocument/2006/relationships/hyperlink" Target="mailto:lina.duarte@idt.gov.co" TargetMode="External" /><Relationship Id="rId142" Type="http://schemas.openxmlformats.org/officeDocument/2006/relationships/hyperlink" Target="mailto:santiago.mart&#237;nez@idt.gov.co" TargetMode="External" /><Relationship Id="rId143" Type="http://schemas.openxmlformats.org/officeDocument/2006/relationships/hyperlink" Target="mailto:wilson.santamaria@idt.gov.co" TargetMode="External" /><Relationship Id="rId144" Type="http://schemas.openxmlformats.org/officeDocument/2006/relationships/hyperlink" Target="mailto:andres.tellez@idt.gov.co" TargetMode="External" /><Relationship Id="rId145" Type="http://schemas.openxmlformats.org/officeDocument/2006/relationships/hyperlink" Target="mailto:oscar.su&#225;rez@idt.gov.co" TargetMode="External" /><Relationship Id="rId146" Type="http://schemas.openxmlformats.org/officeDocument/2006/relationships/hyperlink" Target="mailto:rafael.ahumada@idt.gov.co" TargetMode="External" /><Relationship Id="rId147" Type="http://schemas.openxmlformats.org/officeDocument/2006/relationships/hyperlink" Target="mailto:diana.diana@idt.gov.co" TargetMode="External" /><Relationship Id="rId148" Type="http://schemas.openxmlformats.org/officeDocument/2006/relationships/hyperlink" Target="mailto:cristian.parra@idt.gov.co" TargetMode="External" /><Relationship Id="rId149" Type="http://schemas.openxmlformats.org/officeDocument/2006/relationships/hyperlink" Target="mailto:norbey.ruiz@idt.gov.co" TargetMode="External" /><Relationship Id="rId150"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M54"/>
  <sheetViews>
    <sheetView zoomScale="87" zoomScaleNormal="87" zoomScaleSheetLayoutView="87" workbookViewId="0" topLeftCell="A1">
      <pane ySplit="6" topLeftCell="A7" activePane="bottomLeft" state="frozen"/>
      <selection pane="topLeft" activeCell="A1" sqref="A1"/>
      <selection pane="bottomLeft" activeCell="B5" sqref="B5:B6"/>
    </sheetView>
  </sheetViews>
  <sheetFormatPr defaultColWidth="0" defaultRowHeight="12.75" zeroHeight="1"/>
  <cols>
    <col min="1" max="1" width="3.8515625" style="442" bestFit="1" customWidth="1"/>
    <col min="2" max="2" width="20.140625" style="443" customWidth="1"/>
    <col min="3" max="3" width="15.28125" style="393" customWidth="1"/>
    <col min="4" max="4" width="28.140625" style="393" bestFit="1" customWidth="1"/>
    <col min="5" max="5" width="10.7109375" style="393" customWidth="1"/>
    <col min="6" max="6" width="15.57421875" style="393" customWidth="1"/>
    <col min="7" max="7" width="15.140625" style="393" customWidth="1"/>
    <col min="8" max="8" width="28.28125" style="442" customWidth="1"/>
    <col min="9" max="9" width="14.00390625" style="444" customWidth="1"/>
    <col min="10" max="10" width="10.00390625" style="442" customWidth="1"/>
    <col min="11" max="11" width="7.57421875" style="442" customWidth="1"/>
    <col min="12" max="12" width="10.57421875" style="442" customWidth="1"/>
    <col min="13" max="13" width="43.7109375" style="393" customWidth="1"/>
    <col min="14" max="14" width="3.28125" style="393" customWidth="1"/>
    <col min="15" max="16384" width="11.421875" style="393" hidden="1" customWidth="1"/>
  </cols>
  <sheetData>
    <row r="1" spans="1:13" ht="24.75" customHeight="1">
      <c r="A1" s="458"/>
      <c r="B1" s="458"/>
      <c r="C1" s="458"/>
      <c r="D1" s="456" t="s">
        <v>515</v>
      </c>
      <c r="E1" s="456"/>
      <c r="F1" s="456"/>
      <c r="G1" s="456"/>
      <c r="H1" s="456"/>
      <c r="I1" s="456"/>
      <c r="J1" s="456"/>
      <c r="K1" s="456"/>
      <c r="L1" s="456"/>
      <c r="M1" s="456"/>
    </row>
    <row r="2" spans="1:13" ht="19.5" customHeight="1">
      <c r="A2" s="458"/>
      <c r="B2" s="458"/>
      <c r="C2" s="458"/>
      <c r="D2" s="456"/>
      <c r="E2" s="456"/>
      <c r="F2" s="456"/>
      <c r="G2" s="456"/>
      <c r="H2" s="456"/>
      <c r="I2" s="456"/>
      <c r="J2" s="456"/>
      <c r="K2" s="456"/>
      <c r="L2" s="456"/>
      <c r="M2" s="456"/>
    </row>
    <row r="3" spans="1:13" s="394" customFormat="1" ht="21.75" customHeight="1">
      <c r="A3" s="459"/>
      <c r="B3" s="459"/>
      <c r="C3" s="459"/>
      <c r="D3" s="457"/>
      <c r="E3" s="457"/>
      <c r="F3" s="457"/>
      <c r="G3" s="457"/>
      <c r="H3" s="457"/>
      <c r="I3" s="457"/>
      <c r="J3" s="457"/>
      <c r="K3" s="457"/>
      <c r="L3" s="457"/>
      <c r="M3" s="457"/>
    </row>
    <row r="4" spans="1:13" s="394" customFormat="1" ht="21.75" customHeight="1">
      <c r="A4" s="460" t="s">
        <v>544</v>
      </c>
      <c r="B4" s="460"/>
      <c r="C4" s="460"/>
      <c r="D4" s="460"/>
      <c r="E4" s="460"/>
      <c r="F4" s="460"/>
      <c r="G4" s="460"/>
      <c r="H4" s="460"/>
      <c r="I4" s="460"/>
      <c r="J4" s="460"/>
      <c r="K4" s="460"/>
      <c r="L4" s="460"/>
      <c r="M4" s="460"/>
    </row>
    <row r="5" spans="1:13" s="396" customFormat="1" ht="27" customHeight="1">
      <c r="A5" s="449" t="s">
        <v>38</v>
      </c>
      <c r="B5" s="454" t="s">
        <v>0</v>
      </c>
      <c r="C5" s="454" t="s">
        <v>454</v>
      </c>
      <c r="D5" s="453" t="s">
        <v>485</v>
      </c>
      <c r="E5" s="453" t="s">
        <v>442</v>
      </c>
      <c r="F5" s="452" t="s">
        <v>12</v>
      </c>
      <c r="G5" s="452" t="s">
        <v>311</v>
      </c>
      <c r="H5" s="452" t="s">
        <v>312</v>
      </c>
      <c r="I5" s="395" t="s">
        <v>443</v>
      </c>
      <c r="J5" s="452" t="s">
        <v>1</v>
      </c>
      <c r="K5" s="452" t="s">
        <v>2</v>
      </c>
      <c r="L5" s="450" t="s">
        <v>414</v>
      </c>
      <c r="M5" s="452" t="s">
        <v>415</v>
      </c>
    </row>
    <row r="6" spans="1:13" s="396" customFormat="1" ht="28.5" customHeight="1">
      <c r="A6" s="449"/>
      <c r="B6" s="455"/>
      <c r="C6" s="455"/>
      <c r="D6" s="453"/>
      <c r="E6" s="453"/>
      <c r="F6" s="452"/>
      <c r="G6" s="452"/>
      <c r="H6" s="452"/>
      <c r="I6" s="395" t="s">
        <v>531</v>
      </c>
      <c r="J6" s="452"/>
      <c r="K6" s="452"/>
      <c r="L6" s="451"/>
      <c r="M6" s="452"/>
    </row>
    <row r="7" spans="1:13" s="410" customFormat="1" ht="67.5">
      <c r="A7" s="397">
        <v>1</v>
      </c>
      <c r="B7" s="398" t="s">
        <v>7</v>
      </c>
      <c r="C7" s="399" t="s">
        <v>444</v>
      </c>
      <c r="D7" s="400" t="s">
        <v>455</v>
      </c>
      <c r="E7" s="401" t="s">
        <v>535</v>
      </c>
      <c r="F7" s="402" t="s">
        <v>305</v>
      </c>
      <c r="G7" s="403" t="s">
        <v>320</v>
      </c>
      <c r="H7" s="404" t="s">
        <v>314</v>
      </c>
      <c r="I7" s="405">
        <v>1046</v>
      </c>
      <c r="J7" s="406">
        <v>222</v>
      </c>
      <c r="K7" s="407">
        <v>4</v>
      </c>
      <c r="L7" s="408" t="s">
        <v>506</v>
      </c>
      <c r="M7" s="409" t="s">
        <v>344</v>
      </c>
    </row>
    <row r="8" spans="1:13" ht="56.25">
      <c r="A8" s="397">
        <v>2</v>
      </c>
      <c r="B8" s="411" t="s">
        <v>398</v>
      </c>
      <c r="C8" s="399" t="s">
        <v>444</v>
      </c>
      <c r="D8" s="412" t="s">
        <v>456</v>
      </c>
      <c r="E8" s="401" t="s">
        <v>437</v>
      </c>
      <c r="F8" s="402" t="s">
        <v>307</v>
      </c>
      <c r="G8" s="402" t="s">
        <v>304</v>
      </c>
      <c r="H8" s="404" t="s">
        <v>399</v>
      </c>
      <c r="I8" s="413">
        <v>1004</v>
      </c>
      <c r="J8" s="402">
        <v>105</v>
      </c>
      <c r="K8" s="402">
        <v>1</v>
      </c>
      <c r="L8" s="408" t="s">
        <v>506</v>
      </c>
      <c r="M8" s="409" t="s">
        <v>335</v>
      </c>
    </row>
    <row r="9" spans="1:13" s="394" customFormat="1" ht="56.25">
      <c r="A9" s="397">
        <v>3</v>
      </c>
      <c r="B9" s="411" t="s">
        <v>87</v>
      </c>
      <c r="C9" s="399" t="s">
        <v>444</v>
      </c>
      <c r="D9" s="400" t="s">
        <v>505</v>
      </c>
      <c r="E9" s="401" t="s">
        <v>535</v>
      </c>
      <c r="F9" s="402" t="s">
        <v>397</v>
      </c>
      <c r="G9" s="402" t="s">
        <v>317</v>
      </c>
      <c r="H9" s="404" t="s">
        <v>318</v>
      </c>
      <c r="I9" s="405">
        <v>1040</v>
      </c>
      <c r="J9" s="407">
        <v>219</v>
      </c>
      <c r="K9" s="407">
        <v>2</v>
      </c>
      <c r="L9" s="408" t="s">
        <v>506</v>
      </c>
      <c r="M9" s="414" t="s">
        <v>367</v>
      </c>
    </row>
    <row r="10" spans="1:13" s="394" customFormat="1" ht="56.25">
      <c r="A10" s="397">
        <v>4</v>
      </c>
      <c r="B10" s="398" t="s">
        <v>211</v>
      </c>
      <c r="C10" s="421" t="s">
        <v>444</v>
      </c>
      <c r="D10" s="412" t="s">
        <v>514</v>
      </c>
      <c r="E10" s="422" t="s">
        <v>439</v>
      </c>
      <c r="F10" s="403" t="s">
        <v>305</v>
      </c>
      <c r="G10" s="403" t="s">
        <v>320</v>
      </c>
      <c r="H10" s="404" t="s">
        <v>319</v>
      </c>
      <c r="I10" s="423">
        <v>1054</v>
      </c>
      <c r="J10" s="403">
        <v>222</v>
      </c>
      <c r="K10" s="403">
        <v>4</v>
      </c>
      <c r="L10" s="446" t="s">
        <v>506</v>
      </c>
      <c r="M10" s="426" t="s">
        <v>336</v>
      </c>
    </row>
    <row r="11" spans="1:13" s="394" customFormat="1" ht="56.25">
      <c r="A11" s="397">
        <v>5</v>
      </c>
      <c r="B11" s="398" t="s">
        <v>370</v>
      </c>
      <c r="C11" s="421" t="s">
        <v>444</v>
      </c>
      <c r="D11" s="412" t="s">
        <v>457</v>
      </c>
      <c r="E11" s="422" t="s">
        <v>433</v>
      </c>
      <c r="F11" s="403" t="s">
        <v>305</v>
      </c>
      <c r="G11" s="403" t="s">
        <v>320</v>
      </c>
      <c r="H11" s="404" t="s">
        <v>418</v>
      </c>
      <c r="I11" s="423">
        <v>1046</v>
      </c>
      <c r="J11" s="403">
        <v>222</v>
      </c>
      <c r="K11" s="403">
        <v>4</v>
      </c>
      <c r="L11" s="408" t="s">
        <v>506</v>
      </c>
      <c r="M11" s="424" t="s">
        <v>337</v>
      </c>
    </row>
    <row r="12" spans="1:13" ht="56.25">
      <c r="A12" s="397">
        <v>6</v>
      </c>
      <c r="B12" s="398" t="s">
        <v>525</v>
      </c>
      <c r="C12" s="421" t="s">
        <v>444</v>
      </c>
      <c r="D12" s="440" t="s">
        <v>526</v>
      </c>
      <c r="E12" s="422" t="s">
        <v>508</v>
      </c>
      <c r="F12" s="403" t="s">
        <v>527</v>
      </c>
      <c r="G12" s="403" t="s">
        <v>528</v>
      </c>
      <c r="H12" s="427" t="s">
        <v>529</v>
      </c>
      <c r="I12" s="423">
        <v>1043</v>
      </c>
      <c r="J12" s="403">
        <v>6</v>
      </c>
      <c r="K12" s="403">
        <v>1</v>
      </c>
      <c r="L12" s="408" t="s">
        <v>506</v>
      </c>
      <c r="M12" s="424" t="s">
        <v>530</v>
      </c>
    </row>
    <row r="13" spans="1:13" s="394" customFormat="1" ht="45">
      <c r="A13" s="397">
        <v>7</v>
      </c>
      <c r="B13" s="398" t="s">
        <v>532</v>
      </c>
      <c r="C13" s="421" t="s">
        <v>444</v>
      </c>
      <c r="D13" s="400" t="s">
        <v>533</v>
      </c>
      <c r="E13" s="422" t="s">
        <v>441</v>
      </c>
      <c r="F13" s="402" t="s">
        <v>305</v>
      </c>
      <c r="G13" s="402" t="s">
        <v>320</v>
      </c>
      <c r="H13" s="436" t="s">
        <v>534</v>
      </c>
      <c r="I13" s="413">
        <v>1046</v>
      </c>
      <c r="J13" s="402">
        <v>222</v>
      </c>
      <c r="K13" s="402">
        <v>4</v>
      </c>
      <c r="L13" s="408" t="s">
        <v>506</v>
      </c>
      <c r="M13" s="439" t="s">
        <v>338</v>
      </c>
    </row>
    <row r="14" spans="1:13" ht="56.25">
      <c r="A14" s="397">
        <v>8</v>
      </c>
      <c r="B14" s="398" t="s">
        <v>371</v>
      </c>
      <c r="C14" s="421" t="s">
        <v>444</v>
      </c>
      <c r="D14" s="412" t="s">
        <v>458</v>
      </c>
      <c r="E14" s="422" t="s">
        <v>536</v>
      </c>
      <c r="F14" s="403" t="s">
        <v>306</v>
      </c>
      <c r="G14" s="403" t="s">
        <v>320</v>
      </c>
      <c r="H14" s="404" t="s">
        <v>417</v>
      </c>
      <c r="I14" s="423">
        <v>1046</v>
      </c>
      <c r="J14" s="403">
        <v>219</v>
      </c>
      <c r="K14" s="403">
        <v>1</v>
      </c>
      <c r="L14" s="408" t="s">
        <v>506</v>
      </c>
      <c r="M14" s="424" t="s">
        <v>358</v>
      </c>
    </row>
    <row r="15" spans="1:13" s="394" customFormat="1" ht="45" customHeight="1">
      <c r="A15" s="397">
        <v>9</v>
      </c>
      <c r="B15" s="398" t="s">
        <v>77</v>
      </c>
      <c r="C15" s="421" t="s">
        <v>444</v>
      </c>
      <c r="D15" s="412" t="s">
        <v>459</v>
      </c>
      <c r="E15" s="422" t="s">
        <v>537</v>
      </c>
      <c r="F15" s="403" t="s">
        <v>306</v>
      </c>
      <c r="G15" s="403" t="s">
        <v>362</v>
      </c>
      <c r="H15" s="404" t="s">
        <v>416</v>
      </c>
      <c r="I15" s="423">
        <v>1005</v>
      </c>
      <c r="J15" s="425">
        <v>219</v>
      </c>
      <c r="K15" s="425">
        <v>2</v>
      </c>
      <c r="L15" s="408" t="s">
        <v>506</v>
      </c>
      <c r="M15" s="426" t="s">
        <v>363</v>
      </c>
    </row>
    <row r="16" spans="1:13" s="394" customFormat="1" ht="84" customHeight="1">
      <c r="A16" s="397">
        <v>10</v>
      </c>
      <c r="B16" s="398" t="s">
        <v>369</v>
      </c>
      <c r="C16" s="421" t="s">
        <v>445</v>
      </c>
      <c r="D16" s="412" t="s">
        <v>460</v>
      </c>
      <c r="E16" s="422" t="s">
        <v>536</v>
      </c>
      <c r="F16" s="403" t="s">
        <v>305</v>
      </c>
      <c r="G16" s="403" t="s">
        <v>326</v>
      </c>
      <c r="H16" s="404" t="s">
        <v>378</v>
      </c>
      <c r="I16" s="423">
        <v>1046</v>
      </c>
      <c r="J16" s="425">
        <v>222</v>
      </c>
      <c r="K16" s="425">
        <v>4</v>
      </c>
      <c r="L16" s="408" t="s">
        <v>506</v>
      </c>
      <c r="M16" s="426" t="s">
        <v>516</v>
      </c>
    </row>
    <row r="17" spans="1:13" ht="63.75" customHeight="1">
      <c r="A17" s="397">
        <v>11</v>
      </c>
      <c r="B17" s="398" t="s">
        <v>401</v>
      </c>
      <c r="C17" s="421" t="s">
        <v>444</v>
      </c>
      <c r="D17" s="412" t="s">
        <v>461</v>
      </c>
      <c r="E17" s="422" t="s">
        <v>435</v>
      </c>
      <c r="F17" s="403" t="s">
        <v>400</v>
      </c>
      <c r="G17" s="403" t="s">
        <v>315</v>
      </c>
      <c r="H17" s="404" t="s">
        <v>404</v>
      </c>
      <c r="I17" s="397">
        <v>1058</v>
      </c>
      <c r="J17" s="407">
        <v>222</v>
      </c>
      <c r="K17" s="407">
        <v>4</v>
      </c>
      <c r="L17" s="408" t="s">
        <v>506</v>
      </c>
      <c r="M17" s="424" t="s">
        <v>350</v>
      </c>
    </row>
    <row r="18" spans="1:13" s="394" customFormat="1" ht="44.25" customHeight="1">
      <c r="A18" s="397">
        <v>12</v>
      </c>
      <c r="B18" s="398" t="s">
        <v>396</v>
      </c>
      <c r="C18" s="421" t="s">
        <v>446</v>
      </c>
      <c r="D18" s="412" t="s">
        <v>462</v>
      </c>
      <c r="E18" s="422" t="s">
        <v>538</v>
      </c>
      <c r="F18" s="403" t="s">
        <v>305</v>
      </c>
      <c r="G18" s="403" t="s">
        <v>317</v>
      </c>
      <c r="H18" s="404" t="s">
        <v>419</v>
      </c>
      <c r="I18" s="423">
        <v>1034</v>
      </c>
      <c r="J18" s="425">
        <v>222</v>
      </c>
      <c r="K18" s="425">
        <v>4</v>
      </c>
      <c r="L18" s="408" t="s">
        <v>506</v>
      </c>
      <c r="M18" s="426" t="s">
        <v>361</v>
      </c>
    </row>
    <row r="19" spans="1:13" s="394" customFormat="1" ht="42.75" customHeight="1">
      <c r="A19" s="397">
        <v>13</v>
      </c>
      <c r="B19" s="398" t="s">
        <v>490</v>
      </c>
      <c r="C19" s="421" t="s">
        <v>444</v>
      </c>
      <c r="D19" s="412" t="s">
        <v>501</v>
      </c>
      <c r="E19" s="422" t="s">
        <v>509</v>
      </c>
      <c r="F19" s="403" t="s">
        <v>327</v>
      </c>
      <c r="G19" s="403" t="s">
        <v>328</v>
      </c>
      <c r="H19" s="404" t="s">
        <v>502</v>
      </c>
      <c r="I19" s="423">
        <v>1026</v>
      </c>
      <c r="J19" s="403">
        <v>115</v>
      </c>
      <c r="K19" s="403">
        <v>3</v>
      </c>
      <c r="L19" s="408" t="s">
        <v>506</v>
      </c>
      <c r="M19" s="424" t="s">
        <v>331</v>
      </c>
    </row>
    <row r="20" spans="1:13" s="394" customFormat="1" ht="90">
      <c r="A20" s="397">
        <v>14</v>
      </c>
      <c r="B20" s="398" t="s">
        <v>491</v>
      </c>
      <c r="C20" s="421" t="s">
        <v>444</v>
      </c>
      <c r="D20" s="412" t="s">
        <v>497</v>
      </c>
      <c r="E20" s="422" t="s">
        <v>440</v>
      </c>
      <c r="F20" s="403" t="s">
        <v>316</v>
      </c>
      <c r="G20" s="403" t="s">
        <v>326</v>
      </c>
      <c r="H20" s="404" t="s">
        <v>498</v>
      </c>
      <c r="I20" s="423">
        <v>1045</v>
      </c>
      <c r="J20" s="403">
        <v>68</v>
      </c>
      <c r="K20" s="403">
        <v>1</v>
      </c>
      <c r="L20" s="408" t="s">
        <v>506</v>
      </c>
      <c r="M20" s="424" t="s">
        <v>391</v>
      </c>
    </row>
    <row r="21" spans="1:13" s="394" customFormat="1" ht="33.75">
      <c r="A21" s="397">
        <v>15</v>
      </c>
      <c r="B21" s="411" t="s">
        <v>409</v>
      </c>
      <c r="C21" s="399" t="s">
        <v>444</v>
      </c>
      <c r="D21" s="400" t="s">
        <v>463</v>
      </c>
      <c r="E21" s="401" t="s">
        <v>539</v>
      </c>
      <c r="F21" s="402" t="s">
        <v>310</v>
      </c>
      <c r="G21" s="402" t="s">
        <v>304</v>
      </c>
      <c r="H21" s="404" t="s">
        <v>410</v>
      </c>
      <c r="I21" s="413">
        <v>1001</v>
      </c>
      <c r="J21" s="402">
        <v>425</v>
      </c>
      <c r="K21" s="402">
        <v>2</v>
      </c>
      <c r="L21" s="408" t="s">
        <v>506</v>
      </c>
      <c r="M21" s="409" t="s">
        <v>365</v>
      </c>
    </row>
    <row r="22" spans="1:13" s="394" customFormat="1" ht="56.25">
      <c r="A22" s="397">
        <v>16</v>
      </c>
      <c r="B22" s="398" t="s">
        <v>309</v>
      </c>
      <c r="C22" s="421" t="s">
        <v>447</v>
      </c>
      <c r="D22" s="400" t="s">
        <v>464</v>
      </c>
      <c r="E22" s="401" t="s">
        <v>540</v>
      </c>
      <c r="F22" s="402" t="s">
        <v>305</v>
      </c>
      <c r="G22" s="402" t="s">
        <v>315</v>
      </c>
      <c r="H22" s="427" t="s">
        <v>321</v>
      </c>
      <c r="I22" s="413">
        <v>1055</v>
      </c>
      <c r="J22" s="425">
        <v>222</v>
      </c>
      <c r="K22" s="425">
        <v>4</v>
      </c>
      <c r="L22" s="408" t="s">
        <v>506</v>
      </c>
      <c r="M22" s="426" t="s">
        <v>343</v>
      </c>
    </row>
    <row r="23" spans="1:13" ht="67.5">
      <c r="A23" s="397">
        <v>17</v>
      </c>
      <c r="B23" s="398" t="s">
        <v>492</v>
      </c>
      <c r="C23" s="421" t="s">
        <v>444</v>
      </c>
      <c r="D23" s="412" t="s">
        <v>499</v>
      </c>
      <c r="E23" s="422" t="s">
        <v>440</v>
      </c>
      <c r="F23" s="403" t="s">
        <v>108</v>
      </c>
      <c r="G23" s="403" t="s">
        <v>304</v>
      </c>
      <c r="H23" s="404" t="s">
        <v>496</v>
      </c>
      <c r="I23" s="413">
        <v>1001</v>
      </c>
      <c r="J23" s="403">
        <v>50</v>
      </c>
      <c r="K23" s="403">
        <v>2</v>
      </c>
      <c r="L23" s="408" t="s">
        <v>506</v>
      </c>
      <c r="M23" s="424" t="s">
        <v>329</v>
      </c>
    </row>
    <row r="24" spans="1:13" ht="67.5">
      <c r="A24" s="397">
        <v>18</v>
      </c>
      <c r="B24" s="411" t="s">
        <v>383</v>
      </c>
      <c r="C24" s="399" t="s">
        <v>448</v>
      </c>
      <c r="D24" s="400" t="s">
        <v>465</v>
      </c>
      <c r="E24" s="401" t="s">
        <v>507</v>
      </c>
      <c r="F24" s="402" t="s">
        <v>305</v>
      </c>
      <c r="G24" s="402" t="s">
        <v>317</v>
      </c>
      <c r="H24" s="427" t="s">
        <v>384</v>
      </c>
      <c r="I24" s="413">
        <v>1035</v>
      </c>
      <c r="J24" s="402">
        <v>222</v>
      </c>
      <c r="K24" s="402">
        <v>3</v>
      </c>
      <c r="L24" s="408" t="s">
        <v>506</v>
      </c>
      <c r="M24" s="409" t="s">
        <v>357</v>
      </c>
    </row>
    <row r="25" spans="1:13" ht="49.5" customHeight="1">
      <c r="A25" s="397">
        <v>19</v>
      </c>
      <c r="B25" s="398" t="s">
        <v>543</v>
      </c>
      <c r="C25" s="421" t="s">
        <v>444</v>
      </c>
      <c r="D25" s="412" t="s">
        <v>545</v>
      </c>
      <c r="E25" s="422" t="s">
        <v>535</v>
      </c>
      <c r="F25" s="402" t="s">
        <v>307</v>
      </c>
      <c r="G25" s="402" t="s">
        <v>323</v>
      </c>
      <c r="H25" s="427" t="s">
        <v>542</v>
      </c>
      <c r="I25" s="413">
        <v>1012</v>
      </c>
      <c r="J25" s="402">
        <v>105</v>
      </c>
      <c r="K25" s="402">
        <v>2</v>
      </c>
      <c r="L25" s="408" t="s">
        <v>506</v>
      </c>
      <c r="M25" s="409" t="s">
        <v>333</v>
      </c>
    </row>
    <row r="26" spans="1:13" s="429" customFormat="1" ht="45" customHeight="1">
      <c r="A26" s="397">
        <v>20</v>
      </c>
      <c r="B26" s="398" t="s">
        <v>373</v>
      </c>
      <c r="C26" s="399" t="s">
        <v>444</v>
      </c>
      <c r="D26" s="428" t="s">
        <v>466</v>
      </c>
      <c r="E26" s="401" t="s">
        <v>541</v>
      </c>
      <c r="F26" s="402" t="s">
        <v>305</v>
      </c>
      <c r="G26" s="402" t="s">
        <v>362</v>
      </c>
      <c r="H26" s="418" t="s">
        <v>420</v>
      </c>
      <c r="I26" s="413">
        <v>1019</v>
      </c>
      <c r="J26" s="425">
        <v>222</v>
      </c>
      <c r="K26" s="425">
        <v>4</v>
      </c>
      <c r="L26" s="408" t="s">
        <v>506</v>
      </c>
      <c r="M26" s="426" t="s">
        <v>345</v>
      </c>
    </row>
    <row r="27" spans="1:13" s="394" customFormat="1" ht="60.75" customHeight="1">
      <c r="A27" s="397">
        <v>21</v>
      </c>
      <c r="B27" s="411" t="s">
        <v>364</v>
      </c>
      <c r="C27" s="399" t="s">
        <v>449</v>
      </c>
      <c r="D27" s="400" t="s">
        <v>467</v>
      </c>
      <c r="E27" s="401" t="s">
        <v>508</v>
      </c>
      <c r="F27" s="402" t="s">
        <v>305</v>
      </c>
      <c r="G27" s="402" t="s">
        <v>315</v>
      </c>
      <c r="H27" s="427" t="s">
        <v>366</v>
      </c>
      <c r="I27" s="413">
        <v>1057</v>
      </c>
      <c r="J27" s="402">
        <v>222</v>
      </c>
      <c r="K27" s="402">
        <v>4</v>
      </c>
      <c r="L27" s="408" t="s">
        <v>506</v>
      </c>
      <c r="M27" s="409" t="s">
        <v>342</v>
      </c>
    </row>
    <row r="28" spans="1:13" s="394" customFormat="1" ht="56.25">
      <c r="A28" s="397">
        <v>22</v>
      </c>
      <c r="B28" s="411" t="s">
        <v>372</v>
      </c>
      <c r="C28" s="399" t="s">
        <v>444</v>
      </c>
      <c r="D28" s="428" t="s">
        <v>468</v>
      </c>
      <c r="E28" s="401" t="s">
        <v>509</v>
      </c>
      <c r="F28" s="402" t="s">
        <v>310</v>
      </c>
      <c r="G28" s="402" t="s">
        <v>320</v>
      </c>
      <c r="H28" s="427" t="s">
        <v>421</v>
      </c>
      <c r="I28" s="413">
        <v>1046</v>
      </c>
      <c r="J28" s="402">
        <v>425</v>
      </c>
      <c r="K28" s="402">
        <v>2</v>
      </c>
      <c r="L28" s="408" t="s">
        <v>506</v>
      </c>
      <c r="M28" s="430" t="s">
        <v>356</v>
      </c>
    </row>
    <row r="29" spans="1:13" s="394" customFormat="1" ht="56.25">
      <c r="A29" s="397">
        <v>23</v>
      </c>
      <c r="B29" s="398" t="s">
        <v>392</v>
      </c>
      <c r="C29" s="421" t="s">
        <v>450</v>
      </c>
      <c r="D29" s="412" t="s">
        <v>469</v>
      </c>
      <c r="E29" s="422" t="s">
        <v>440</v>
      </c>
      <c r="F29" s="403" t="s">
        <v>305</v>
      </c>
      <c r="G29" s="403" t="s">
        <v>317</v>
      </c>
      <c r="H29" s="404" t="s">
        <v>422</v>
      </c>
      <c r="I29" s="423">
        <v>1059</v>
      </c>
      <c r="J29" s="425">
        <v>222</v>
      </c>
      <c r="K29" s="425">
        <v>3</v>
      </c>
      <c r="L29" s="408" t="s">
        <v>506</v>
      </c>
      <c r="M29" s="426" t="s">
        <v>360</v>
      </c>
    </row>
    <row r="30" spans="1:13" s="394" customFormat="1" ht="56.25">
      <c r="A30" s="397">
        <v>24</v>
      </c>
      <c r="B30" s="398" t="s">
        <v>388</v>
      </c>
      <c r="C30" s="421" t="s">
        <v>444</v>
      </c>
      <c r="D30" s="412" t="s">
        <v>470</v>
      </c>
      <c r="E30" s="422" t="s">
        <v>436</v>
      </c>
      <c r="F30" s="403" t="s">
        <v>305</v>
      </c>
      <c r="G30" s="403" t="s">
        <v>328</v>
      </c>
      <c r="H30" s="404" t="s">
        <v>423</v>
      </c>
      <c r="I30" s="423">
        <v>1028</v>
      </c>
      <c r="J30" s="403">
        <v>222</v>
      </c>
      <c r="K30" s="403">
        <v>4</v>
      </c>
      <c r="L30" s="408" t="s">
        <v>506</v>
      </c>
      <c r="M30" s="424" t="s">
        <v>349</v>
      </c>
    </row>
    <row r="31" spans="1:13" s="394" customFormat="1" ht="45">
      <c r="A31" s="397">
        <v>25</v>
      </c>
      <c r="B31" s="398" t="s">
        <v>488</v>
      </c>
      <c r="C31" s="421" t="s">
        <v>444</v>
      </c>
      <c r="D31" s="412" t="s">
        <v>495</v>
      </c>
      <c r="E31" s="422" t="s">
        <v>437</v>
      </c>
      <c r="F31" s="431" t="s">
        <v>316</v>
      </c>
      <c r="G31" s="403" t="s">
        <v>315</v>
      </c>
      <c r="H31" s="404" t="s">
        <v>489</v>
      </c>
      <c r="I31" s="423">
        <v>1053</v>
      </c>
      <c r="J31" s="407">
        <v>68</v>
      </c>
      <c r="K31" s="407">
        <v>1</v>
      </c>
      <c r="L31" s="408" t="s">
        <v>506</v>
      </c>
      <c r="M31" s="424" t="s">
        <v>390</v>
      </c>
    </row>
    <row r="32" spans="1:13" s="394" customFormat="1" ht="67.5">
      <c r="A32" s="397">
        <v>26</v>
      </c>
      <c r="B32" s="398" t="s">
        <v>368</v>
      </c>
      <c r="C32" s="421" t="s">
        <v>444</v>
      </c>
      <c r="D32" s="412" t="s">
        <v>471</v>
      </c>
      <c r="E32" s="422" t="s">
        <v>434</v>
      </c>
      <c r="F32" s="403" t="s">
        <v>305</v>
      </c>
      <c r="G32" s="403" t="s">
        <v>315</v>
      </c>
      <c r="H32" s="404" t="s">
        <v>424</v>
      </c>
      <c r="I32" s="423">
        <v>1054</v>
      </c>
      <c r="J32" s="403">
        <v>222</v>
      </c>
      <c r="K32" s="403">
        <v>4</v>
      </c>
      <c r="L32" s="408" t="s">
        <v>506</v>
      </c>
      <c r="M32" s="424" t="s">
        <v>341</v>
      </c>
    </row>
    <row r="33" spans="1:13" s="394" customFormat="1" ht="56.25">
      <c r="A33" s="397">
        <v>27</v>
      </c>
      <c r="B33" s="411" t="s">
        <v>377</v>
      </c>
      <c r="C33" s="399" t="s">
        <v>451</v>
      </c>
      <c r="D33" s="428" t="s">
        <v>472</v>
      </c>
      <c r="E33" s="401" t="s">
        <v>441</v>
      </c>
      <c r="F33" s="402" t="s">
        <v>305</v>
      </c>
      <c r="G33" s="402" t="s">
        <v>317</v>
      </c>
      <c r="H33" s="418" t="s">
        <v>425</v>
      </c>
      <c r="I33" s="413">
        <v>1040</v>
      </c>
      <c r="J33" s="402">
        <v>222</v>
      </c>
      <c r="K33" s="402">
        <v>4</v>
      </c>
      <c r="L33" s="408" t="s">
        <v>506</v>
      </c>
      <c r="M33" s="430" t="s">
        <v>376</v>
      </c>
    </row>
    <row r="34" spans="1:13" s="394" customFormat="1" ht="56.25">
      <c r="A34" s="397">
        <v>28</v>
      </c>
      <c r="B34" s="398" t="s">
        <v>486</v>
      </c>
      <c r="C34" s="421" t="s">
        <v>444</v>
      </c>
      <c r="D34" s="421" t="s">
        <v>494</v>
      </c>
      <c r="E34" s="422" t="s">
        <v>431</v>
      </c>
      <c r="F34" s="403" t="s">
        <v>400</v>
      </c>
      <c r="G34" s="403" t="s">
        <v>315</v>
      </c>
      <c r="H34" s="404" t="s">
        <v>487</v>
      </c>
      <c r="I34" s="397">
        <v>1054</v>
      </c>
      <c r="J34" s="403">
        <v>222</v>
      </c>
      <c r="K34" s="403">
        <v>3</v>
      </c>
      <c r="L34" s="408" t="s">
        <v>506</v>
      </c>
      <c r="M34" s="424" t="s">
        <v>359</v>
      </c>
    </row>
    <row r="35" spans="1:13" ht="60" customHeight="1">
      <c r="A35" s="397">
        <v>29</v>
      </c>
      <c r="B35" s="398" t="s">
        <v>520</v>
      </c>
      <c r="C35" s="421" t="s">
        <v>444</v>
      </c>
      <c r="D35" s="412" t="s">
        <v>521</v>
      </c>
      <c r="E35" s="422" t="s">
        <v>435</v>
      </c>
      <c r="F35" s="402" t="s">
        <v>16</v>
      </c>
      <c r="G35" s="402" t="s">
        <v>317</v>
      </c>
      <c r="H35" s="436" t="s">
        <v>519</v>
      </c>
      <c r="I35" s="413">
        <v>1032</v>
      </c>
      <c r="J35" s="402">
        <v>407</v>
      </c>
      <c r="K35" s="402">
        <v>1</v>
      </c>
      <c r="L35" s="408" t="s">
        <v>506</v>
      </c>
      <c r="M35" s="439" t="s">
        <v>354</v>
      </c>
    </row>
    <row r="36" spans="1:13" s="394" customFormat="1" ht="68.25" customHeight="1">
      <c r="A36" s="397">
        <v>30</v>
      </c>
      <c r="B36" s="398" t="s">
        <v>522</v>
      </c>
      <c r="C36" s="421" t="s">
        <v>444</v>
      </c>
      <c r="D36" s="412" t="s">
        <v>523</v>
      </c>
      <c r="E36" s="422" t="s">
        <v>438</v>
      </c>
      <c r="F36" s="403" t="s">
        <v>307</v>
      </c>
      <c r="G36" s="403" t="s">
        <v>322</v>
      </c>
      <c r="H36" s="427" t="s">
        <v>524</v>
      </c>
      <c r="I36" s="423">
        <v>1060</v>
      </c>
      <c r="J36" s="403">
        <v>105</v>
      </c>
      <c r="K36" s="403">
        <v>2</v>
      </c>
      <c r="L36" s="408" t="s">
        <v>506</v>
      </c>
      <c r="M36" s="424" t="s">
        <v>332</v>
      </c>
    </row>
    <row r="37" spans="1:13" s="394" customFormat="1" ht="63" customHeight="1">
      <c r="A37" s="397">
        <v>31</v>
      </c>
      <c r="B37" s="411" t="s">
        <v>412</v>
      </c>
      <c r="C37" s="399" t="s">
        <v>444</v>
      </c>
      <c r="D37" s="428" t="s">
        <v>473</v>
      </c>
      <c r="E37" s="401" t="s">
        <v>432</v>
      </c>
      <c r="F37" s="402" t="s">
        <v>305</v>
      </c>
      <c r="G37" s="432" t="s">
        <v>362</v>
      </c>
      <c r="H37" s="418" t="s">
        <v>413</v>
      </c>
      <c r="I37" s="413">
        <v>1021</v>
      </c>
      <c r="J37" s="425">
        <v>222</v>
      </c>
      <c r="K37" s="425">
        <v>4</v>
      </c>
      <c r="L37" s="408" t="s">
        <v>506</v>
      </c>
      <c r="M37" s="426" t="s">
        <v>346</v>
      </c>
    </row>
    <row r="38" spans="1:13" s="434" customFormat="1" ht="56.25" customHeight="1">
      <c r="A38" s="397">
        <v>32</v>
      </c>
      <c r="B38" s="411" t="s">
        <v>385</v>
      </c>
      <c r="C38" s="399" t="s">
        <v>444</v>
      </c>
      <c r="D38" s="400" t="s">
        <v>474</v>
      </c>
      <c r="E38" s="401" t="s">
        <v>508</v>
      </c>
      <c r="F38" s="431" t="s">
        <v>316</v>
      </c>
      <c r="G38" s="402" t="s">
        <v>317</v>
      </c>
      <c r="H38" s="418" t="s">
        <v>386</v>
      </c>
      <c r="I38" s="413">
        <v>1031</v>
      </c>
      <c r="J38" s="402">
        <v>68</v>
      </c>
      <c r="K38" s="402">
        <v>1</v>
      </c>
      <c r="L38" s="408" t="s">
        <v>506</v>
      </c>
      <c r="M38" s="409" t="s">
        <v>330</v>
      </c>
    </row>
    <row r="39" spans="1:13" s="434" customFormat="1" ht="45" customHeight="1">
      <c r="A39" s="397">
        <v>33</v>
      </c>
      <c r="B39" s="411" t="s">
        <v>387</v>
      </c>
      <c r="C39" s="399" t="s">
        <v>444</v>
      </c>
      <c r="D39" s="400" t="s">
        <v>475</v>
      </c>
      <c r="E39" s="401" t="s">
        <v>508</v>
      </c>
      <c r="F39" s="402" t="s">
        <v>305</v>
      </c>
      <c r="G39" s="402" t="s">
        <v>362</v>
      </c>
      <c r="H39" s="418" t="s">
        <v>394</v>
      </c>
      <c r="I39" s="413">
        <v>1022</v>
      </c>
      <c r="J39" s="402">
        <v>222</v>
      </c>
      <c r="K39" s="402">
        <v>4</v>
      </c>
      <c r="L39" s="408" t="s">
        <v>506</v>
      </c>
      <c r="M39" s="426" t="s">
        <v>347</v>
      </c>
    </row>
    <row r="40" spans="1:13" s="438" customFormat="1" ht="93" customHeight="1">
      <c r="A40" s="397">
        <v>34</v>
      </c>
      <c r="B40" s="398" t="s">
        <v>493</v>
      </c>
      <c r="C40" s="421" t="s">
        <v>444</v>
      </c>
      <c r="D40" s="412" t="s">
        <v>504</v>
      </c>
      <c r="E40" s="422" t="s">
        <v>537</v>
      </c>
      <c r="F40" s="403" t="s">
        <v>307</v>
      </c>
      <c r="G40" s="403" t="s">
        <v>313</v>
      </c>
      <c r="H40" s="404" t="s">
        <v>500</v>
      </c>
      <c r="I40" s="423">
        <v>1007</v>
      </c>
      <c r="J40" s="403">
        <v>105</v>
      </c>
      <c r="K40" s="403">
        <v>2</v>
      </c>
      <c r="L40" s="408" t="s">
        <v>506</v>
      </c>
      <c r="M40" s="424" t="s">
        <v>334</v>
      </c>
    </row>
    <row r="41" spans="1:13" ht="56.25">
      <c r="A41" s="397">
        <v>35</v>
      </c>
      <c r="B41" s="398" t="s">
        <v>374</v>
      </c>
      <c r="C41" s="399" t="s">
        <v>444</v>
      </c>
      <c r="D41" s="428" t="s">
        <v>476</v>
      </c>
      <c r="E41" s="401" t="s">
        <v>435</v>
      </c>
      <c r="F41" s="402" t="s">
        <v>305</v>
      </c>
      <c r="G41" s="402" t="s">
        <v>326</v>
      </c>
      <c r="H41" s="418" t="s">
        <v>426</v>
      </c>
      <c r="I41" s="413">
        <v>1048</v>
      </c>
      <c r="J41" s="425">
        <v>222</v>
      </c>
      <c r="K41" s="425">
        <v>4</v>
      </c>
      <c r="L41" s="408" t="s">
        <v>506</v>
      </c>
      <c r="M41" s="433" t="s">
        <v>340</v>
      </c>
    </row>
    <row r="42" spans="1:13" s="429" customFormat="1" ht="45">
      <c r="A42" s="397">
        <v>36</v>
      </c>
      <c r="B42" s="398" t="s">
        <v>324</v>
      </c>
      <c r="C42" s="399" t="s">
        <v>444</v>
      </c>
      <c r="D42" s="400" t="s">
        <v>477</v>
      </c>
      <c r="E42" s="401" t="s">
        <v>513</v>
      </c>
      <c r="F42" s="435" t="s">
        <v>303</v>
      </c>
      <c r="G42" s="402" t="s">
        <v>304</v>
      </c>
      <c r="H42" s="427" t="s">
        <v>325</v>
      </c>
      <c r="I42" s="413">
        <v>1001</v>
      </c>
      <c r="J42" s="406">
        <v>480</v>
      </c>
      <c r="K42" s="402">
        <v>1</v>
      </c>
      <c r="L42" s="408" t="s">
        <v>506</v>
      </c>
      <c r="M42" s="409" t="s">
        <v>355</v>
      </c>
    </row>
    <row r="43" spans="1:13" s="410" customFormat="1" ht="56.25">
      <c r="A43" s="397">
        <v>37</v>
      </c>
      <c r="B43" s="398" t="s">
        <v>393</v>
      </c>
      <c r="C43" s="399" t="s">
        <v>444</v>
      </c>
      <c r="D43" s="400" t="s">
        <v>478</v>
      </c>
      <c r="E43" s="401" t="s">
        <v>536</v>
      </c>
      <c r="F43" s="432" t="s">
        <v>306</v>
      </c>
      <c r="G43" s="402" t="s">
        <v>326</v>
      </c>
      <c r="H43" s="436" t="s">
        <v>427</v>
      </c>
      <c r="I43" s="413">
        <v>1046</v>
      </c>
      <c r="J43" s="437">
        <v>219</v>
      </c>
      <c r="K43" s="437">
        <v>1</v>
      </c>
      <c r="L43" s="408" t="s">
        <v>506</v>
      </c>
      <c r="M43" s="426" t="s">
        <v>517</v>
      </c>
    </row>
    <row r="44" spans="1:13" ht="45">
      <c r="A44" s="397">
        <v>38</v>
      </c>
      <c r="B44" s="411" t="s">
        <v>379</v>
      </c>
      <c r="C44" s="421" t="s">
        <v>444</v>
      </c>
      <c r="D44" s="415" t="s">
        <v>518</v>
      </c>
      <c r="E44" s="416"/>
      <c r="F44" s="417" t="s">
        <v>308</v>
      </c>
      <c r="G44" s="417" t="s">
        <v>315</v>
      </c>
      <c r="H44" s="427" t="s">
        <v>380</v>
      </c>
      <c r="I44" s="419">
        <v>1054</v>
      </c>
      <c r="J44" s="417">
        <v>367</v>
      </c>
      <c r="K44" s="417">
        <v>1</v>
      </c>
      <c r="L44" s="420" t="s">
        <v>506</v>
      </c>
      <c r="M44" s="441" t="s">
        <v>353</v>
      </c>
    </row>
    <row r="45" spans="1:13" ht="67.5" customHeight="1">
      <c r="A45" s="397">
        <v>39</v>
      </c>
      <c r="B45" s="398" t="s">
        <v>375</v>
      </c>
      <c r="C45" s="421" t="s">
        <v>444</v>
      </c>
      <c r="D45" s="412" t="s">
        <v>479</v>
      </c>
      <c r="E45" s="422" t="s">
        <v>513</v>
      </c>
      <c r="F45" s="403" t="s">
        <v>305</v>
      </c>
      <c r="G45" s="402" t="s">
        <v>326</v>
      </c>
      <c r="H45" s="404" t="s">
        <v>428</v>
      </c>
      <c r="I45" s="423">
        <v>1052</v>
      </c>
      <c r="J45" s="403">
        <v>222</v>
      </c>
      <c r="K45" s="403">
        <v>4</v>
      </c>
      <c r="L45" s="408" t="s">
        <v>506</v>
      </c>
      <c r="M45" s="424" t="s">
        <v>339</v>
      </c>
    </row>
    <row r="46" spans="1:13" s="394" customFormat="1" ht="56.25">
      <c r="A46" s="397">
        <v>40</v>
      </c>
      <c r="B46" s="398" t="s">
        <v>402</v>
      </c>
      <c r="C46" s="399" t="s">
        <v>452</v>
      </c>
      <c r="D46" s="400" t="s">
        <v>480</v>
      </c>
      <c r="E46" s="401" t="s">
        <v>539</v>
      </c>
      <c r="F46" s="402" t="s">
        <v>305</v>
      </c>
      <c r="G46" s="402" t="s">
        <v>326</v>
      </c>
      <c r="H46" s="404" t="s">
        <v>405</v>
      </c>
      <c r="I46" s="413">
        <v>1046</v>
      </c>
      <c r="J46" s="425">
        <v>222</v>
      </c>
      <c r="K46" s="425">
        <v>4</v>
      </c>
      <c r="L46" s="408" t="s">
        <v>506</v>
      </c>
      <c r="M46" s="426" t="s">
        <v>407</v>
      </c>
    </row>
    <row r="47" spans="1:13" ht="56.25">
      <c r="A47" s="397">
        <v>41</v>
      </c>
      <c r="B47" s="411" t="s">
        <v>395</v>
      </c>
      <c r="C47" s="399" t="s">
        <v>444</v>
      </c>
      <c r="D47" s="400" t="s">
        <v>481</v>
      </c>
      <c r="E47" s="401" t="s">
        <v>513</v>
      </c>
      <c r="F47" s="402" t="s">
        <v>16</v>
      </c>
      <c r="G47" s="402" t="s">
        <v>317</v>
      </c>
      <c r="H47" s="427" t="s">
        <v>429</v>
      </c>
      <c r="I47" s="413">
        <v>1000</v>
      </c>
      <c r="J47" s="402">
        <v>407</v>
      </c>
      <c r="K47" s="402">
        <v>1</v>
      </c>
      <c r="L47" s="408" t="s">
        <v>506</v>
      </c>
      <c r="M47" s="409" t="s">
        <v>351</v>
      </c>
    </row>
    <row r="48" spans="1:13" s="394" customFormat="1" ht="33.75">
      <c r="A48" s="397">
        <v>42</v>
      </c>
      <c r="B48" s="411" t="s">
        <v>411</v>
      </c>
      <c r="C48" s="399" t="s">
        <v>444</v>
      </c>
      <c r="D48" s="400" t="s">
        <v>482</v>
      </c>
      <c r="E48" s="401" t="s">
        <v>437</v>
      </c>
      <c r="F48" s="435" t="s">
        <v>305</v>
      </c>
      <c r="G48" s="402" t="s">
        <v>328</v>
      </c>
      <c r="H48" s="427" t="s">
        <v>430</v>
      </c>
      <c r="I48" s="413">
        <v>1030</v>
      </c>
      <c r="J48" s="406">
        <v>222</v>
      </c>
      <c r="K48" s="402">
        <v>4</v>
      </c>
      <c r="L48" s="408" t="s">
        <v>506</v>
      </c>
      <c r="M48" s="439" t="s">
        <v>348</v>
      </c>
    </row>
    <row r="49" spans="1:13" s="394" customFormat="1" ht="78.75">
      <c r="A49" s="397">
        <v>43</v>
      </c>
      <c r="B49" s="411" t="s">
        <v>403</v>
      </c>
      <c r="C49" s="399" t="s">
        <v>444</v>
      </c>
      <c r="D49" s="400" t="s">
        <v>483</v>
      </c>
      <c r="E49" s="401" t="s">
        <v>438</v>
      </c>
      <c r="F49" s="402" t="s">
        <v>308</v>
      </c>
      <c r="G49" s="403" t="s">
        <v>304</v>
      </c>
      <c r="H49" s="427" t="s">
        <v>406</v>
      </c>
      <c r="I49" s="413">
        <v>1003</v>
      </c>
      <c r="J49" s="402">
        <v>367</v>
      </c>
      <c r="K49" s="402">
        <v>1</v>
      </c>
      <c r="L49" s="408" t="s">
        <v>506</v>
      </c>
      <c r="M49" s="409" t="s">
        <v>408</v>
      </c>
    </row>
    <row r="50" spans="1:13" s="394" customFormat="1" ht="56.25">
      <c r="A50" s="397">
        <v>44</v>
      </c>
      <c r="B50" s="398" t="s">
        <v>381</v>
      </c>
      <c r="C50" s="399" t="s">
        <v>453</v>
      </c>
      <c r="D50" s="400" t="s">
        <v>484</v>
      </c>
      <c r="E50" s="401" t="s">
        <v>440</v>
      </c>
      <c r="F50" s="402" t="s">
        <v>305</v>
      </c>
      <c r="G50" s="402" t="s">
        <v>317</v>
      </c>
      <c r="H50" s="427" t="s">
        <v>382</v>
      </c>
      <c r="I50" s="413">
        <v>1034</v>
      </c>
      <c r="J50" s="402">
        <v>222</v>
      </c>
      <c r="K50" s="402">
        <v>3</v>
      </c>
      <c r="L50" s="408" t="s">
        <v>506</v>
      </c>
      <c r="M50" s="409" t="s">
        <v>352</v>
      </c>
    </row>
    <row r="51" spans="1:13" s="394" customFormat="1" ht="56.25" customHeight="1">
      <c r="A51" s="397">
        <v>45</v>
      </c>
      <c r="B51" s="398" t="s">
        <v>510</v>
      </c>
      <c r="C51" s="421" t="s">
        <v>444</v>
      </c>
      <c r="D51" s="440" t="s">
        <v>511</v>
      </c>
      <c r="E51" s="422" t="s">
        <v>436</v>
      </c>
      <c r="F51" s="403" t="s">
        <v>327</v>
      </c>
      <c r="G51" s="403" t="s">
        <v>362</v>
      </c>
      <c r="H51" s="427" t="s">
        <v>512</v>
      </c>
      <c r="I51" s="423">
        <v>1016</v>
      </c>
      <c r="J51" s="403">
        <v>115</v>
      </c>
      <c r="K51" s="403">
        <v>3</v>
      </c>
      <c r="L51" s="408" t="s">
        <v>506</v>
      </c>
      <c r="M51" s="424" t="s">
        <v>389</v>
      </c>
    </row>
    <row r="52" ht="11.25"/>
    <row r="53" spans="1:3" ht="11.25">
      <c r="A53" s="445" t="s">
        <v>503</v>
      </c>
      <c r="B53" s="445"/>
      <c r="C53" s="445"/>
    </row>
    <row r="54" spans="1:3" ht="11.25">
      <c r="A54" s="448"/>
      <c r="B54" s="448"/>
      <c r="C54" s="448"/>
    </row>
    <row r="55" ht="11.25"/>
    <row r="56" ht="11.25"/>
  </sheetData>
  <sheetProtection/>
  <autoFilter ref="A6:N51"/>
  <mergeCells count="16">
    <mergeCell ref="C5:C6"/>
    <mergeCell ref="E5:E6"/>
    <mergeCell ref="F5:F6"/>
    <mergeCell ref="D1:M3"/>
    <mergeCell ref="A1:C3"/>
    <mergeCell ref="A4:M4"/>
    <mergeCell ref="A54:C54"/>
    <mergeCell ref="A5:A6"/>
    <mergeCell ref="L5:L6"/>
    <mergeCell ref="G5:G6"/>
    <mergeCell ref="H5:H6"/>
    <mergeCell ref="M5:M6"/>
    <mergeCell ref="K5:K6"/>
    <mergeCell ref="J5:J6"/>
    <mergeCell ref="B5:B6"/>
    <mergeCell ref="D5:D6"/>
  </mergeCells>
  <dataValidations count="3">
    <dataValidation type="whole" operator="greaterThanOrEqual" allowBlank="1" showInputMessage="1" showErrorMessage="1" promptTitle="Solo escrtiba dígitos del 0 al 9" prompt="Solo escrtiba dígitos del 0 al 9" errorTitle="Solo escrtiba dígitos del 0 al 9" error="Solo escrtiba dígitos del 0 al 9" sqref="J12:K12 J9:K9 J18:K18">
      <formula1>1</formula1>
    </dataValidation>
    <dataValidation type="textLength" allowBlank="1" showInputMessage="1" showErrorMessage="1" sqref="J39 J7 J47">
      <formula1>0</formula1>
      <formula2>3</formula2>
    </dataValidation>
    <dataValidation type="textLength" allowBlank="1" showInputMessage="1" showErrorMessage="1" sqref="K39 K7 K47">
      <formula1>0</formula1>
      <formula2>2</formula2>
    </dataValidation>
  </dataValidations>
  <hyperlinks>
    <hyperlink ref="H47" r:id="rId1" display="yolanda.tovar@idt.gov.co"/>
    <hyperlink ref="H19" r:id="rId2" display="claudia.cifuentes@idt.gov.co"/>
    <hyperlink ref="H18" r:id="rId3" display="dumar.carvajal@idt.gov.co"/>
    <hyperlink ref="H23" r:id="rId4" display="karol.fajardo@idt.gov.co"/>
    <hyperlink ref="H37" r:id="rId5" display="jenny.pena@idt.gov.co"/>
    <hyperlink ref="H48" r:id="rId6" display="claudia.triana@idt.gov.co"/>
    <hyperlink ref="H21" r:id="rId7" display="soraida.diaz@idt.gov.co"/>
    <hyperlink ref="H49" r:id="rId8" display="diego.vargas@idt.gov.co"/>
    <hyperlink ref="H46" r:id="rId9" display="luis.suarez@idt.gov.co"/>
    <hyperlink ref="H17" r:id="rId10" display="diana.carranza@idt.gov.co"/>
    <hyperlink ref="H8" r:id="rId11" display="german.almeida@idt.gov.co"/>
    <hyperlink ref="H40" r:id="rId12" display="angela.pinzon@idt.gov.co"/>
    <hyperlink ref="H43" r:id="rId13" display="diana.rios@idt.gov.co"/>
    <hyperlink ref="H39" r:id="rId14" display="sandra.penuela@idt.gov.co"/>
    <hyperlink ref="H29" r:id="rId15" display="cesar.herrera@idt.gov.co"/>
    <hyperlink ref="H31" r:id="rId16" display="juan.lamar@idt.gov.co"/>
    <hyperlink ref="H30" r:id="rId17" display="damaris.lagos@idt.gov.co"/>
    <hyperlink ref="H34" r:id="rId18" display="lina.novoal@idt.gov.co"/>
    <hyperlink ref="H38" r:id="rId19" display="edwin.pena@idt.gov.co"/>
    <hyperlink ref="H50" r:id="rId20" display="zulma.walteros@idt.gov.co"/>
    <hyperlink ref="H24" r:id="rId21" display="catalina.galindo@idt.gov.co"/>
    <hyperlink ref="H45" r:id="rId22" display="edison.sarache@idt.gov.co"/>
    <hyperlink ref="H7" r:id="rId23" display="claudia.agudelo@idt.gov.co"/>
    <hyperlink ref="H9" r:id="rId24" display="alberto.amaya@idt.gov.co"/>
    <hyperlink ref="H13" r:id="rId25" display="claudia.barrera@idt.gov.co"/>
    <hyperlink ref="H42" r:id="rId26" display="jorge.ramirez@idt.gov.co"/>
    <hyperlink ref="H36" r:id="rId27" display="mauricio.ospina@idt.gov.co"/>
    <hyperlink ref="H22" r:id="rId28" display="natalia.echavarria@idt.gov.co"/>
    <hyperlink ref="H15" r:id="rId29" display="judith.borda@idt.gov.co"/>
    <hyperlink ref="H27" r:id="rId30" display="william.heredia@idt.gov.co"/>
    <hyperlink ref="H32" r:id="rId31" display="erin.martinez@idt.gov.co"/>
    <hyperlink ref="H16" r:id="rId32" display="liliana.carmona@idt.gov.co"/>
    <hyperlink ref="H14" r:id="rId33" display="camila.benitez@idt.gov.co"/>
    <hyperlink ref="H28" r:id="rId34" display="nelcy.hernandez@idt.gov.co"/>
    <hyperlink ref="H26" r:id="rId35" display="rene.guarin@idt.gov.co"/>
    <hyperlink ref="H33" r:id="rId36" display="german.montoya@idt.gov.co"/>
    <hyperlink ref="H11" r:id="rId37" display="veronica.arbelaez@idt.gov.co"/>
    <hyperlink ref="H41" r:id="rId38" display="jimmy.pulido@idt.gov.co"/>
    <hyperlink ref="H20" r:id="rId39" display="andres.clavijo@idt.gov.co"/>
    <hyperlink ref="H51" r:id="rId40" display="veronica.zambrano@idt.gov.co"/>
    <hyperlink ref="H10" r:id="rId41" display="luz.angel@idt.gov.co"/>
    <hyperlink ref="H44" r:id="rId42" display="yenny.romero@idt.gov.co"/>
    <hyperlink ref="H35" r:id="rId43" display="johanna.@ospina@idt.gov.co"/>
    <hyperlink ref="H12" r:id="rId44" display="paola.arlant@idt.gov.co"/>
  </hyperlinks>
  <printOptions horizontalCentered="1" verticalCentered="1"/>
  <pageMargins left="0.1968503937007874" right="0.1968503937007874" top="0.3937007874015748" bottom="0" header="0" footer="0"/>
  <pageSetup horizontalDpi="600" verticalDpi="600" orientation="portrait" scale="45" r:id="rId47"/>
  <headerFooter scaleWithDoc="0" alignWithMargins="0">
    <oddHeader>&amp;C&amp;G</oddHeader>
  </headerFooter>
  <drawing r:id="rId45"/>
  <legacyDrawingHF r:id="rId46"/>
</worksheet>
</file>

<file path=xl/worksheets/sheet10.xml><?xml version="1.0" encoding="utf-8"?>
<worksheet xmlns="http://schemas.openxmlformats.org/spreadsheetml/2006/main" xmlns:r="http://schemas.openxmlformats.org/officeDocument/2006/relationships">
  <sheetPr>
    <tabColor rgb="FFFFFF00"/>
  </sheetPr>
  <dimension ref="A1:P258"/>
  <sheetViews>
    <sheetView zoomScalePageLayoutView="0" workbookViewId="0" topLeftCell="C115">
      <selection activeCell="I89" sqref="I89"/>
    </sheetView>
  </sheetViews>
  <sheetFormatPr defaultColWidth="11.421875" defaultRowHeight="12.75"/>
  <cols>
    <col min="1" max="1" width="37.7109375" style="1" customWidth="1"/>
    <col min="2" max="2" width="15.28125" style="1" customWidth="1"/>
    <col min="3" max="3" width="15.7109375" style="1" customWidth="1"/>
    <col min="4" max="4" width="14.00390625" style="1" bestFit="1" customWidth="1"/>
    <col min="5" max="5" width="15.421875" style="1" bestFit="1" customWidth="1"/>
    <col min="6" max="6" width="41.421875" style="1" bestFit="1" customWidth="1"/>
    <col min="7" max="7" width="12.7109375" style="1" customWidth="1"/>
    <col min="8" max="8" width="15.140625" style="1" customWidth="1"/>
    <col min="9" max="9" width="15.57421875" style="1" customWidth="1"/>
    <col min="10" max="10" width="13.57421875" style="1" customWidth="1"/>
    <col min="11" max="11" width="11.421875" style="1" customWidth="1"/>
    <col min="12" max="12" width="13.421875" style="1" bestFit="1" customWidth="1"/>
    <col min="13" max="16384" width="11.421875" style="1" customWidth="1"/>
  </cols>
  <sheetData>
    <row r="1" spans="1:10" ht="15.75">
      <c r="A1" s="607" t="s">
        <v>15</v>
      </c>
      <c r="B1" s="607"/>
      <c r="C1" s="607"/>
      <c r="D1" s="607"/>
      <c r="E1" s="607"/>
      <c r="F1" s="607"/>
      <c r="G1" s="607"/>
      <c r="H1" s="607"/>
      <c r="I1" s="607"/>
      <c r="J1" s="607"/>
    </row>
    <row r="2" spans="1:10" ht="15.75">
      <c r="A2" s="608" t="s">
        <v>18</v>
      </c>
      <c r="B2" s="608"/>
      <c r="C2" s="608"/>
      <c r="D2" s="608"/>
      <c r="E2" s="608"/>
      <c r="F2" s="608"/>
      <c r="G2" s="608"/>
      <c r="H2" s="608"/>
      <c r="I2" s="608"/>
      <c r="J2" s="608"/>
    </row>
    <row r="3" spans="1:10" ht="15.75">
      <c r="A3" s="608" t="e">
        <f>+#REF!</f>
        <v>#REF!</v>
      </c>
      <c r="B3" s="608"/>
      <c r="C3" s="608"/>
      <c r="D3" s="608"/>
      <c r="E3" s="608"/>
      <c r="F3" s="608"/>
      <c r="G3" s="608"/>
      <c r="H3" s="608"/>
      <c r="I3" s="608"/>
      <c r="J3" s="608"/>
    </row>
    <row r="4" spans="1:10" ht="13.5" thickBot="1">
      <c r="A4" s="20"/>
      <c r="B4" s="21"/>
      <c r="C4" s="22"/>
      <c r="D4" s="22"/>
      <c r="E4" s="22"/>
      <c r="F4" s="23"/>
      <c r="G4" s="21"/>
      <c r="H4" s="22"/>
      <c r="I4" s="22"/>
      <c r="J4" s="24"/>
    </row>
    <row r="5" spans="1:14" s="33" customFormat="1" ht="12.75">
      <c r="A5" s="29" t="e">
        <f>+#REF!</f>
        <v>#REF!</v>
      </c>
      <c r="B5" s="30"/>
      <c r="C5" s="31"/>
      <c r="D5" s="31"/>
      <c r="E5" s="32"/>
      <c r="F5" s="62" t="s">
        <v>8</v>
      </c>
      <c r="G5" s="63"/>
      <c r="H5" s="64"/>
      <c r="I5" s="31"/>
      <c r="J5" s="32"/>
      <c r="M5" s="135"/>
      <c r="N5" s="33" t="s">
        <v>75</v>
      </c>
    </row>
    <row r="6" spans="1:10" s="33" customFormat="1" ht="12.75">
      <c r="A6" s="34" t="s">
        <v>19</v>
      </c>
      <c r="B6" s="35"/>
      <c r="C6" s="36"/>
      <c r="D6" s="36"/>
      <c r="E6" s="37"/>
      <c r="F6" s="34" t="s">
        <v>31</v>
      </c>
      <c r="G6" s="65"/>
      <c r="H6" s="36"/>
      <c r="I6" s="36"/>
      <c r="J6" s="37"/>
    </row>
    <row r="7" spans="1:10" s="33" customFormat="1" ht="12.75">
      <c r="A7" s="38"/>
      <c r="B7" s="39"/>
      <c r="C7" s="39"/>
      <c r="D7" s="36"/>
      <c r="E7" s="37"/>
      <c r="F7" s="38"/>
      <c r="G7" s="39"/>
      <c r="H7" s="39"/>
      <c r="I7" s="36"/>
      <c r="J7" s="37"/>
    </row>
    <row r="8" spans="1:10" s="33" customFormat="1" ht="12.75">
      <c r="A8" s="38" t="s">
        <v>50</v>
      </c>
      <c r="B8" s="40"/>
      <c r="C8" s="41" t="e">
        <f>+#REF!</f>
        <v>#REF!</v>
      </c>
      <c r="D8" s="36"/>
      <c r="E8" s="37"/>
      <c r="F8" s="38" t="s">
        <v>50</v>
      </c>
      <c r="G8" s="40"/>
      <c r="H8" s="41" t="e">
        <f>+#REF!</f>
        <v>#REF!</v>
      </c>
      <c r="I8" s="36"/>
      <c r="J8" s="37"/>
    </row>
    <row r="9" spans="1:10" s="33" customFormat="1" ht="12.75">
      <c r="A9" s="38" t="s">
        <v>20</v>
      </c>
      <c r="B9" s="40"/>
      <c r="C9" s="41">
        <v>0</v>
      </c>
      <c r="D9" s="36"/>
      <c r="E9" s="37"/>
      <c r="F9" s="38" t="s">
        <v>20</v>
      </c>
      <c r="G9" s="40"/>
      <c r="H9" s="41">
        <v>0</v>
      </c>
      <c r="I9" s="36"/>
      <c r="J9" s="37"/>
    </row>
    <row r="10" spans="1:10" s="33" customFormat="1" ht="12.75">
      <c r="A10" s="34" t="s">
        <v>6</v>
      </c>
      <c r="B10" s="35">
        <f>SUM(B8:B9)</f>
        <v>0</v>
      </c>
      <c r="C10" s="35" t="e">
        <f>+C8-C9</f>
        <v>#REF!</v>
      </c>
      <c r="D10" s="36"/>
      <c r="E10" s="37"/>
      <c r="F10" s="34" t="s">
        <v>6</v>
      </c>
      <c r="G10" s="35">
        <f>SUM(G8:G9)</f>
        <v>0</v>
      </c>
      <c r="H10" s="35" t="e">
        <f>+H8-H9</f>
        <v>#REF!</v>
      </c>
      <c r="I10" s="36"/>
      <c r="J10" s="37"/>
    </row>
    <row r="11" spans="1:10" s="33" customFormat="1" ht="12.75">
      <c r="A11" s="38" t="s">
        <v>21</v>
      </c>
      <c r="B11" s="40"/>
      <c r="C11" s="41" t="e">
        <f>+#REF!</f>
        <v>#REF!</v>
      </c>
      <c r="D11" s="56" t="e">
        <f>944800-C11</f>
        <v>#REF!</v>
      </c>
      <c r="E11" s="37"/>
      <c r="F11" s="38" t="s">
        <v>21</v>
      </c>
      <c r="G11" s="40"/>
      <c r="H11" s="41" t="e">
        <f>+#REF!</f>
        <v>#REF!</v>
      </c>
      <c r="I11" s="36"/>
      <c r="J11" s="37"/>
    </row>
    <row r="12" spans="1:10" s="33" customFormat="1" ht="12.75">
      <c r="A12" s="38" t="s">
        <v>22</v>
      </c>
      <c r="B12" s="40"/>
      <c r="C12" s="41" t="e">
        <f>+#REF!</f>
        <v>#REF!</v>
      </c>
      <c r="D12" s="42"/>
      <c r="E12" s="37"/>
      <c r="F12" s="38" t="s">
        <v>22</v>
      </c>
      <c r="G12" s="40"/>
      <c r="H12" s="41" t="e">
        <f>+#REF!</f>
        <v>#REF!</v>
      </c>
      <c r="I12" s="36"/>
      <c r="J12" s="37"/>
    </row>
    <row r="13" spans="1:10" s="33" customFormat="1" ht="12.75">
      <c r="A13" s="38" t="s">
        <v>23</v>
      </c>
      <c r="B13" s="40"/>
      <c r="C13" s="41">
        <v>0</v>
      </c>
      <c r="D13" s="36"/>
      <c r="E13" s="37"/>
      <c r="F13" s="38" t="s">
        <v>23</v>
      </c>
      <c r="G13" s="40"/>
      <c r="H13" s="41">
        <v>0</v>
      </c>
      <c r="I13" s="36"/>
      <c r="J13" s="37"/>
    </row>
    <row r="14" spans="1:10" s="33" customFormat="1" ht="12.75">
      <c r="A14" s="34" t="s">
        <v>24</v>
      </c>
      <c r="B14" s="35">
        <f>+B10-B11-B12-B13</f>
        <v>0</v>
      </c>
      <c r="C14" s="35" t="e">
        <f>+C10-C11-C12-C13</f>
        <v>#REF!</v>
      </c>
      <c r="D14" s="36"/>
      <c r="E14" s="37"/>
      <c r="F14" s="34" t="s">
        <v>24</v>
      </c>
      <c r="G14" s="35">
        <f>+G10-G11-G12-G13</f>
        <v>0</v>
      </c>
      <c r="H14" s="35" t="e">
        <f>+H10-H11-H12-H13</f>
        <v>#REF!</v>
      </c>
      <c r="I14" s="36"/>
      <c r="J14" s="37"/>
    </row>
    <row r="15" spans="1:10" s="33" customFormat="1" ht="12.75">
      <c r="A15" s="43" t="s">
        <v>25</v>
      </c>
      <c r="B15" s="40">
        <f>+B14*0.3</f>
        <v>0</v>
      </c>
      <c r="C15" s="40" t="e">
        <f>+C14*0.25</f>
        <v>#REF!</v>
      </c>
      <c r="D15" s="40"/>
      <c r="E15" s="37"/>
      <c r="F15" s="43" t="s">
        <v>25</v>
      </c>
      <c r="G15" s="40">
        <f>+G14*0.3</f>
        <v>0</v>
      </c>
      <c r="H15" s="40" t="e">
        <f>+H14*0.25</f>
        <v>#REF!</v>
      </c>
      <c r="I15" s="40"/>
      <c r="J15" s="37"/>
    </row>
    <row r="16" spans="1:10" s="33" customFormat="1" ht="12.75">
      <c r="A16" s="43"/>
      <c r="B16" s="40">
        <f>+B14-B15</f>
        <v>0</v>
      </c>
      <c r="C16" s="40" t="e">
        <f>+C14-C15</f>
        <v>#REF!</v>
      </c>
      <c r="D16" s="40" t="e">
        <f>SUM(B16:C16)</f>
        <v>#REF!</v>
      </c>
      <c r="E16" s="37"/>
      <c r="F16" s="43"/>
      <c r="G16" s="40">
        <f>+G14-G15</f>
        <v>0</v>
      </c>
      <c r="H16" s="40" t="e">
        <f>+H14-H15</f>
        <v>#REF!</v>
      </c>
      <c r="I16" s="40" t="e">
        <f>SUM(G16:H16)</f>
        <v>#REF!</v>
      </c>
      <c r="J16" s="37"/>
    </row>
    <row r="17" spans="1:10" s="33" customFormat="1" ht="12.75">
      <c r="A17" s="34" t="s">
        <v>26</v>
      </c>
      <c r="B17" s="35"/>
      <c r="C17" s="35"/>
      <c r="D17" s="35" t="e">
        <f>+D16/1</f>
        <v>#REF!</v>
      </c>
      <c r="E17" s="37" t="e">
        <f>+D17*0.15</f>
        <v>#REF!</v>
      </c>
      <c r="F17" s="34" t="s">
        <v>26</v>
      </c>
      <c r="G17" s="35"/>
      <c r="H17" s="35"/>
      <c r="I17" s="35" t="e">
        <f>+I16/1</f>
        <v>#REF!</v>
      </c>
      <c r="J17" s="37"/>
    </row>
    <row r="18" spans="1:13" s="33" customFormat="1" ht="12.75">
      <c r="A18" s="38" t="s">
        <v>81</v>
      </c>
      <c r="B18" s="40"/>
      <c r="C18" s="40">
        <v>352832</v>
      </c>
      <c r="D18" s="40">
        <f>352832+53891</f>
        <v>406723</v>
      </c>
      <c r="E18" s="98" t="s">
        <v>70</v>
      </c>
      <c r="F18" s="38" t="s">
        <v>27</v>
      </c>
      <c r="G18" s="40"/>
      <c r="H18" s="40"/>
      <c r="I18" s="40">
        <v>0</v>
      </c>
      <c r="J18" s="37"/>
      <c r="M18" s="33">
        <f>11187653/12</f>
        <v>932304.4166666666</v>
      </c>
    </row>
    <row r="19" spans="1:10" s="33" customFormat="1" ht="12.75">
      <c r="A19" s="38" t="s">
        <v>68</v>
      </c>
      <c r="B19" s="40"/>
      <c r="C19" s="40"/>
      <c r="D19" s="40" t="e">
        <f>+#REF!</f>
        <v>#REF!</v>
      </c>
      <c r="E19" s="98"/>
      <c r="F19" s="38" t="s">
        <v>68</v>
      </c>
      <c r="G19" s="40"/>
      <c r="H19" s="40"/>
      <c r="I19" s="40" t="e">
        <f>+#REF!</f>
        <v>#REF!</v>
      </c>
      <c r="J19" s="37"/>
    </row>
    <row r="20" spans="1:11" s="33" customFormat="1" ht="12.75">
      <c r="A20" s="34" t="s">
        <v>28</v>
      </c>
      <c r="B20" s="35"/>
      <c r="C20" s="35"/>
      <c r="D20" s="35" t="e">
        <f>+D17-D18-D19</f>
        <v>#REF!</v>
      </c>
      <c r="E20" s="37"/>
      <c r="F20" s="34" t="s">
        <v>28</v>
      </c>
      <c r="G20" s="35"/>
      <c r="H20" s="35"/>
      <c r="I20" s="35" t="e">
        <f>+I17-I18-I19</f>
        <v>#REF!</v>
      </c>
      <c r="J20" s="37"/>
      <c r="K20" s="45" t="e">
        <f>+#REF!-#REF!</f>
        <v>#REF!</v>
      </c>
    </row>
    <row r="21" spans="1:12" s="33" customFormat="1" ht="12.75">
      <c r="A21" s="34" t="s">
        <v>29</v>
      </c>
      <c r="B21" s="44"/>
      <c r="C21" s="44"/>
      <c r="D21" s="44"/>
      <c r="E21" s="37"/>
      <c r="F21" s="34" t="s">
        <v>29</v>
      </c>
      <c r="G21" s="44"/>
      <c r="H21" s="44"/>
      <c r="I21" s="44"/>
      <c r="J21" s="37"/>
      <c r="L21" s="45"/>
    </row>
    <row r="22" spans="1:12" s="33" customFormat="1" ht="13.5" thickBot="1">
      <c r="A22" s="46"/>
      <c r="B22" s="47"/>
      <c r="C22" s="102"/>
      <c r="D22" s="47"/>
      <c r="E22" s="48"/>
      <c r="F22" s="46"/>
      <c r="G22" s="47"/>
      <c r="H22" s="47"/>
      <c r="I22" s="47"/>
      <c r="J22" s="48"/>
      <c r="L22" s="49"/>
    </row>
    <row r="23" spans="1:12" s="33" customFormat="1" ht="15" customHeight="1">
      <c r="A23" s="50" t="s">
        <v>28</v>
      </c>
      <c r="B23" s="35" t="e">
        <f>D20</f>
        <v>#REF!</v>
      </c>
      <c r="C23" s="36"/>
      <c r="D23" s="51" t="s">
        <v>30</v>
      </c>
      <c r="E23" s="52">
        <v>24555</v>
      </c>
      <c r="F23" s="50" t="s">
        <v>28</v>
      </c>
      <c r="G23" s="35" t="e">
        <f>+I20</f>
        <v>#REF!</v>
      </c>
      <c r="H23" s="36"/>
      <c r="I23" s="51" t="s">
        <v>30</v>
      </c>
      <c r="J23" s="52">
        <v>24555</v>
      </c>
      <c r="L23" s="49"/>
    </row>
    <row r="24" spans="1:10" s="33" customFormat="1" ht="13.5" thickBot="1">
      <c r="A24" s="50" t="s">
        <v>101</v>
      </c>
      <c r="B24" s="53" t="e">
        <f>(+E24-150)*28/100+10</f>
        <v>#REF!</v>
      </c>
      <c r="C24" s="53" t="e">
        <f>+B24</f>
        <v>#REF!</v>
      </c>
      <c r="D24" s="53"/>
      <c r="E24" s="54" t="e">
        <f>ROUND(E25/E23,0)</f>
        <v>#REF!</v>
      </c>
      <c r="F24" s="50" t="s">
        <v>106</v>
      </c>
      <c r="G24" s="53" t="e">
        <f>(+J25-95)*19/100</f>
        <v>#REF!</v>
      </c>
      <c r="H24" s="53" t="e">
        <f>+G24</f>
        <v>#REF!</v>
      </c>
      <c r="I24" s="53"/>
      <c r="J24" s="54" t="e">
        <f>+G23</f>
        <v>#REF!</v>
      </c>
    </row>
    <row r="25" spans="1:16" s="33" customFormat="1" ht="15.75" thickBot="1">
      <c r="A25" s="55" t="s">
        <v>84</v>
      </c>
      <c r="B25" s="129"/>
      <c r="C25" s="76" t="e">
        <f>IF(B24&gt;0,ROUND(B24*E23,-2),0)</f>
        <v>#REF!</v>
      </c>
      <c r="D25" s="77" t="e">
        <f>+C25</f>
        <v>#REF!</v>
      </c>
      <c r="E25" s="52" t="e">
        <f>+D20</f>
        <v>#REF!</v>
      </c>
      <c r="F25" s="55" t="s">
        <v>84</v>
      </c>
      <c r="G25" s="129"/>
      <c r="H25" s="76" t="e">
        <f>IF(G24&gt;0,ROUND(G24*J23,-2),0)</f>
        <v>#REF!</v>
      </c>
      <c r="I25" s="57" t="e">
        <f>+H25</f>
        <v>#REF!</v>
      </c>
      <c r="J25" s="58" t="e">
        <f>ROUND(J24/J23,0)</f>
        <v>#REF!</v>
      </c>
      <c r="L25" s="72"/>
      <c r="P25" s="72"/>
    </row>
    <row r="26" spans="1:14" s="33" customFormat="1" ht="13.5" thickBot="1">
      <c r="A26" s="131"/>
      <c r="B26" s="140" t="s">
        <v>82</v>
      </c>
      <c r="C26" s="68" t="e">
        <f>ROUND(+D20*0.1109,-3)</f>
        <v>#REF!</v>
      </c>
      <c r="D26" s="101" t="e">
        <f>+D25-344000</f>
        <v>#REF!</v>
      </c>
      <c r="E26" s="61"/>
      <c r="F26" s="59"/>
      <c r="G26" s="140" t="s">
        <v>82</v>
      </c>
      <c r="H26" s="101" t="e">
        <f>ROUND(+I20*0.0644,-3)</f>
        <v>#REF!</v>
      </c>
      <c r="I26" s="60"/>
      <c r="J26" s="61"/>
      <c r="L26" s="72" t="e">
        <f>+C26+#REF!</f>
        <v>#REF!</v>
      </c>
      <c r="N26" s="33">
        <f>(562.32-360)*0.33+69</f>
        <v>135.7656</v>
      </c>
    </row>
    <row r="27" spans="1:10" ht="12.75">
      <c r="A27" s="4"/>
      <c r="B27" s="4"/>
      <c r="C27" s="4"/>
      <c r="D27" s="4"/>
      <c r="E27" s="5"/>
      <c r="F27" s="36"/>
      <c r="G27" s="143"/>
      <c r="H27" s="56"/>
      <c r="I27" s="36"/>
      <c r="J27" s="36"/>
    </row>
    <row r="28" spans="1:10" ht="13.5" thickBot="1">
      <c r="A28" s="4"/>
      <c r="B28" s="4"/>
      <c r="C28" s="74"/>
      <c r="D28" s="4"/>
      <c r="E28" s="5"/>
      <c r="F28" s="4"/>
      <c r="G28" s="4"/>
      <c r="H28" s="4"/>
      <c r="I28" s="4"/>
      <c r="J28" s="4"/>
    </row>
    <row r="29" spans="1:10" ht="12.75">
      <c r="A29" s="62" t="s">
        <v>7</v>
      </c>
      <c r="B29" s="63"/>
      <c r="C29" s="64"/>
      <c r="D29" s="31"/>
      <c r="E29" s="32"/>
      <c r="F29" s="29" t="e">
        <f>+#REF!</f>
        <v>#REF!</v>
      </c>
      <c r="G29" s="30"/>
      <c r="H29" s="31"/>
      <c r="I29" s="31"/>
      <c r="J29" s="32"/>
    </row>
    <row r="30" spans="1:10" ht="12.75">
      <c r="A30" s="34" t="s">
        <v>31</v>
      </c>
      <c r="B30" s="35"/>
      <c r="C30" s="36"/>
      <c r="D30" s="36"/>
      <c r="E30" s="37"/>
      <c r="F30" s="34" t="s">
        <v>19</v>
      </c>
      <c r="G30" s="35"/>
      <c r="H30" s="36"/>
      <c r="I30" s="36"/>
      <c r="J30" s="37"/>
    </row>
    <row r="31" spans="1:10" ht="12.75">
      <c r="A31" s="38"/>
      <c r="B31" s="39"/>
      <c r="C31" s="39"/>
      <c r="D31" s="36"/>
      <c r="E31" s="37"/>
      <c r="F31" s="38"/>
      <c r="G31" s="39"/>
      <c r="H31" s="39"/>
      <c r="I31" s="36"/>
      <c r="J31" s="37"/>
    </row>
    <row r="32" spans="1:10" ht="12.75">
      <c r="A32" s="38" t="s">
        <v>50</v>
      </c>
      <c r="B32" s="40"/>
      <c r="C32" s="41" t="e">
        <f>+#REF!</f>
        <v>#REF!</v>
      </c>
      <c r="D32" s="36"/>
      <c r="E32" s="37"/>
      <c r="F32" s="38" t="s">
        <v>50</v>
      </c>
      <c r="G32" s="40"/>
      <c r="H32" s="41" t="e">
        <f>+#REF!</f>
        <v>#REF!</v>
      </c>
      <c r="I32" s="36"/>
      <c r="J32" s="37"/>
    </row>
    <row r="33" spans="1:10" ht="12.75">
      <c r="A33" s="38" t="s">
        <v>20</v>
      </c>
      <c r="B33" s="40"/>
      <c r="C33" s="41">
        <v>0</v>
      </c>
      <c r="D33" s="36"/>
      <c r="E33" s="37"/>
      <c r="F33" s="38" t="s">
        <v>20</v>
      </c>
      <c r="G33" s="40"/>
      <c r="H33" s="41">
        <v>0</v>
      </c>
      <c r="I33" s="36"/>
      <c r="J33" s="37"/>
    </row>
    <row r="34" spans="1:10" ht="12.75">
      <c r="A34" s="34" t="s">
        <v>6</v>
      </c>
      <c r="B34" s="35">
        <f>SUM(B32:B33)</f>
        <v>0</v>
      </c>
      <c r="C34" s="35" t="e">
        <f>+C32-C33</f>
        <v>#REF!</v>
      </c>
      <c r="D34" s="36"/>
      <c r="E34" s="37"/>
      <c r="F34" s="34" t="s">
        <v>6</v>
      </c>
      <c r="G34" s="35">
        <f>SUM(G32:G33)</f>
        <v>0</v>
      </c>
      <c r="H34" s="35" t="e">
        <f>+H32-H33</f>
        <v>#REF!</v>
      </c>
      <c r="I34" s="36"/>
      <c r="J34" s="37"/>
    </row>
    <row r="35" spans="1:10" ht="12.75">
      <c r="A35" s="38" t="s">
        <v>21</v>
      </c>
      <c r="B35" s="40"/>
      <c r="C35" s="41" t="e">
        <f>+#REF!</f>
        <v>#REF!</v>
      </c>
      <c r="D35" s="36"/>
      <c r="E35" s="37"/>
      <c r="F35" s="38" t="s">
        <v>21</v>
      </c>
      <c r="G35" s="40"/>
      <c r="H35" s="41" t="e">
        <f>+#REF!</f>
        <v>#REF!</v>
      </c>
      <c r="I35" s="36"/>
      <c r="J35" s="37"/>
    </row>
    <row r="36" spans="1:10" ht="12.75">
      <c r="A36" s="38" t="s">
        <v>22</v>
      </c>
      <c r="B36" s="40"/>
      <c r="C36" s="41" t="e">
        <f>+#REF!</f>
        <v>#REF!</v>
      </c>
      <c r="D36" s="36"/>
      <c r="E36" s="37"/>
      <c r="F36" s="38" t="s">
        <v>22</v>
      </c>
      <c r="G36" s="40"/>
      <c r="H36" s="41" t="e">
        <f>+#REF!</f>
        <v>#REF!</v>
      </c>
      <c r="I36" s="36"/>
      <c r="J36" s="37"/>
    </row>
    <row r="37" spans="1:10" ht="12.75">
      <c r="A37" s="38" t="s">
        <v>23</v>
      </c>
      <c r="B37" s="40"/>
      <c r="C37" s="41">
        <v>0</v>
      </c>
      <c r="D37" s="36"/>
      <c r="E37" s="37"/>
      <c r="F37" s="38" t="s">
        <v>23</v>
      </c>
      <c r="G37" s="40"/>
      <c r="H37" s="41">
        <v>0</v>
      </c>
      <c r="I37" s="36"/>
      <c r="J37" s="37"/>
    </row>
    <row r="38" spans="1:10" ht="12.75">
      <c r="A38" s="34" t="s">
        <v>24</v>
      </c>
      <c r="B38" s="35">
        <f>+B34-B35-B36-B37</f>
        <v>0</v>
      </c>
      <c r="C38" s="35" t="e">
        <f>+C34-C35-C36-C37</f>
        <v>#REF!</v>
      </c>
      <c r="D38" s="36"/>
      <c r="E38" s="37"/>
      <c r="F38" s="34" t="s">
        <v>24</v>
      </c>
      <c r="G38" s="35">
        <f>+G34-G35-G36-G37</f>
        <v>0</v>
      </c>
      <c r="H38" s="35" t="e">
        <f>+H34-H35-H36-H37</f>
        <v>#REF!</v>
      </c>
      <c r="I38" s="36"/>
      <c r="J38" s="37"/>
    </row>
    <row r="39" spans="1:10" ht="12.75">
      <c r="A39" s="43" t="s">
        <v>25</v>
      </c>
      <c r="B39" s="40">
        <f>+B38*0.3</f>
        <v>0</v>
      </c>
      <c r="C39" s="40" t="e">
        <f>+C38*0.25</f>
        <v>#REF!</v>
      </c>
      <c r="D39" s="40"/>
      <c r="E39" s="37"/>
      <c r="F39" s="43" t="s">
        <v>25</v>
      </c>
      <c r="G39" s="40">
        <f>+G38*0.3</f>
        <v>0</v>
      </c>
      <c r="H39" s="40" t="e">
        <f>+H38*0.25</f>
        <v>#REF!</v>
      </c>
      <c r="I39" s="40"/>
      <c r="J39" s="37"/>
    </row>
    <row r="40" spans="1:10" ht="12.75">
      <c r="A40" s="43"/>
      <c r="B40" s="40">
        <f>+B38-B39</f>
        <v>0</v>
      </c>
      <c r="C40" s="40" t="e">
        <f>+C38-C39</f>
        <v>#REF!</v>
      </c>
      <c r="D40" s="40" t="e">
        <f>SUM(B40:C40)</f>
        <v>#REF!</v>
      </c>
      <c r="E40" s="37"/>
      <c r="F40" s="43"/>
      <c r="G40" s="40">
        <f>+G38-G39</f>
        <v>0</v>
      </c>
      <c r="H40" s="40" t="e">
        <f>+H38-H39</f>
        <v>#REF!</v>
      </c>
      <c r="I40" s="40" t="e">
        <f>SUM(G40:H40)</f>
        <v>#REF!</v>
      </c>
      <c r="J40" s="37"/>
    </row>
    <row r="41" spans="1:10" ht="12.75">
      <c r="A41" s="34" t="s">
        <v>26</v>
      </c>
      <c r="B41" s="35"/>
      <c r="C41" s="35"/>
      <c r="D41" s="35" t="e">
        <f>+D40/1</f>
        <v>#REF!</v>
      </c>
      <c r="E41" s="37" t="e">
        <f>+D41*0.15</f>
        <v>#REF!</v>
      </c>
      <c r="F41" s="34" t="s">
        <v>26</v>
      </c>
      <c r="G41" s="35"/>
      <c r="H41" s="35"/>
      <c r="I41" s="35" t="e">
        <f>+I40/1</f>
        <v>#REF!</v>
      </c>
      <c r="J41" s="99" t="e">
        <f>+I41*0.15</f>
        <v>#REF!</v>
      </c>
    </row>
    <row r="42" spans="1:10" ht="12.75">
      <c r="A42" s="38" t="s">
        <v>83</v>
      </c>
      <c r="B42" s="139"/>
      <c r="C42" s="139">
        <f>+B42/12</f>
        <v>0</v>
      </c>
      <c r="D42" s="40">
        <v>511250</v>
      </c>
      <c r="E42" s="98" t="s">
        <v>70</v>
      </c>
      <c r="F42" s="38" t="s">
        <v>27</v>
      </c>
      <c r="G42" s="40"/>
      <c r="H42" s="40"/>
      <c r="I42" s="40">
        <v>0</v>
      </c>
      <c r="J42" s="37"/>
    </row>
    <row r="43" spans="1:10" ht="12.75">
      <c r="A43" s="38" t="s">
        <v>68</v>
      </c>
      <c r="B43" s="40"/>
      <c r="C43" s="40"/>
      <c r="D43" s="40" t="e">
        <f>+#REF!</f>
        <v>#REF!</v>
      </c>
      <c r="E43" s="139"/>
      <c r="F43" s="38" t="s">
        <v>68</v>
      </c>
      <c r="G43" s="40"/>
      <c r="H43" s="40"/>
      <c r="I43" s="40" t="e">
        <f>+#REF!</f>
        <v>#REF!</v>
      </c>
      <c r="J43" s="37"/>
    </row>
    <row r="44" spans="1:10" ht="12.75">
      <c r="A44" s="34" t="s">
        <v>28</v>
      </c>
      <c r="B44" s="35"/>
      <c r="C44" s="35"/>
      <c r="D44" s="35" t="e">
        <f>+D41-D42-D43</f>
        <v>#REF!</v>
      </c>
      <c r="E44" s="37"/>
      <c r="F44" s="34" t="s">
        <v>28</v>
      </c>
      <c r="G44" s="35"/>
      <c r="H44" s="35"/>
      <c r="I44" s="35" t="e">
        <f>+I41-I42-I43</f>
        <v>#REF!</v>
      </c>
      <c r="J44" s="37"/>
    </row>
    <row r="45" spans="1:10" ht="12.75">
      <c r="A45" s="34" t="s">
        <v>29</v>
      </c>
      <c r="B45" s="44"/>
      <c r="C45" s="44"/>
      <c r="D45" s="44"/>
      <c r="E45" s="37"/>
      <c r="F45" s="34" t="s">
        <v>29</v>
      </c>
      <c r="G45" s="44"/>
      <c r="H45" s="44"/>
      <c r="I45" s="44"/>
      <c r="J45" s="37"/>
    </row>
    <row r="46" spans="1:10" ht="13.5" thickBot="1">
      <c r="A46" s="46"/>
      <c r="B46" s="47"/>
      <c r="C46" s="47"/>
      <c r="D46" s="47"/>
      <c r="E46" s="48"/>
      <c r="F46" s="46"/>
      <c r="G46" s="47"/>
      <c r="H46" s="47"/>
      <c r="I46" s="47"/>
      <c r="J46" s="48"/>
    </row>
    <row r="47" spans="1:10" ht="13.5" thickBot="1">
      <c r="A47" s="50" t="s">
        <v>28</v>
      </c>
      <c r="B47" s="35" t="e">
        <f>+D44</f>
        <v>#REF!</v>
      </c>
      <c r="C47" s="36"/>
      <c r="D47" s="51" t="s">
        <v>30</v>
      </c>
      <c r="E47" s="52">
        <v>24555</v>
      </c>
      <c r="F47" s="46"/>
      <c r="G47" s="47"/>
      <c r="H47" s="47"/>
      <c r="I47" s="47"/>
      <c r="J47" s="48"/>
    </row>
    <row r="48" spans="1:10" ht="13.5" thickBot="1">
      <c r="A48" s="50" t="s">
        <v>74</v>
      </c>
      <c r="B48" s="53" t="e">
        <f>(+E49-95)*19/100</f>
        <v>#REF!</v>
      </c>
      <c r="C48" s="66" t="e">
        <f>+B48</f>
        <v>#REF!</v>
      </c>
      <c r="D48" s="53"/>
      <c r="E48" s="54" t="e">
        <f>+D44</f>
        <v>#REF!</v>
      </c>
      <c r="F48" s="50" t="s">
        <v>28</v>
      </c>
      <c r="G48" s="35">
        <f>I45</f>
        <v>0</v>
      </c>
      <c r="H48" s="36"/>
      <c r="I48" s="141" t="s">
        <v>85</v>
      </c>
      <c r="J48" s="52">
        <v>24555</v>
      </c>
    </row>
    <row r="49" spans="1:12" ht="15.75" thickBot="1">
      <c r="A49" s="55" t="s">
        <v>59</v>
      </c>
      <c r="B49" s="45">
        <v>24555</v>
      </c>
      <c r="C49" s="67" t="e">
        <f>IF(C48&gt;0,ROUND(B49*C48,-2),0)</f>
        <v>#REF!</v>
      </c>
      <c r="D49" s="57" t="e">
        <f>+C49</f>
        <v>#REF!</v>
      </c>
      <c r="E49" s="58" t="e">
        <f>ROUND(E48/E47,0)</f>
        <v>#REF!</v>
      </c>
      <c r="F49" s="50" t="s">
        <v>96</v>
      </c>
      <c r="G49" s="53" t="e">
        <f>(+J50-150)*0.28+10</f>
        <v>#REF!</v>
      </c>
      <c r="H49" s="53"/>
      <c r="I49" s="53"/>
      <c r="J49" s="54" t="e">
        <f>+I44</f>
        <v>#REF!</v>
      </c>
      <c r="L49" s="8"/>
    </row>
    <row r="50" spans="1:12" ht="15.75" thickBot="1">
      <c r="A50" s="59"/>
      <c r="B50" s="140" t="s">
        <v>82</v>
      </c>
      <c r="C50" s="101" t="e">
        <f>ROUND(+D44*0.0303,-3)</f>
        <v>#REF!</v>
      </c>
      <c r="D50" s="60"/>
      <c r="E50" s="61"/>
      <c r="F50" s="55" t="s">
        <v>84</v>
      </c>
      <c r="G50" s="56"/>
      <c r="H50" s="76" t="e">
        <f>IF(G49&gt;0,ROUND(G49*J48,-2),0)</f>
        <v>#REF!</v>
      </c>
      <c r="I50" s="57" t="e">
        <f>+H50</f>
        <v>#REF!</v>
      </c>
      <c r="J50" s="58" t="e">
        <f>ROUND(J49/J48,0)</f>
        <v>#REF!</v>
      </c>
      <c r="L50" s="8" t="e">
        <f>+C50+H26</f>
        <v>#REF!</v>
      </c>
    </row>
    <row r="51" spans="1:10" ht="13.5" thickBot="1">
      <c r="A51" s="4"/>
      <c r="B51" s="4"/>
      <c r="C51" s="7"/>
      <c r="D51" s="4"/>
      <c r="E51" s="4"/>
      <c r="F51" s="59"/>
      <c r="G51" s="140" t="s">
        <v>82</v>
      </c>
      <c r="H51" s="68" t="e">
        <f>ROUND(+I44*0.0869,-3)</f>
        <v>#REF!</v>
      </c>
      <c r="I51" s="60"/>
      <c r="J51" s="61"/>
    </row>
    <row r="52" spans="1:10" ht="12.75">
      <c r="A52" s="29" t="e">
        <f>+#REF!</f>
        <v>#REF!</v>
      </c>
      <c r="B52" s="30"/>
      <c r="C52" s="31"/>
      <c r="D52" s="31"/>
      <c r="E52" s="32"/>
      <c r="F52" s="105" t="s">
        <v>64</v>
      </c>
      <c r="G52" s="106"/>
      <c r="H52" s="107"/>
      <c r="I52" s="107"/>
      <c r="J52" s="108"/>
    </row>
    <row r="53" spans="1:10" ht="12.75">
      <c r="A53" s="34" t="s">
        <v>19</v>
      </c>
      <c r="B53" s="35"/>
      <c r="C53" s="36"/>
      <c r="D53" s="36"/>
      <c r="E53" s="37"/>
      <c r="F53" s="109" t="s">
        <v>31</v>
      </c>
      <c r="G53" s="110"/>
      <c r="H53" s="111"/>
      <c r="I53" s="111"/>
      <c r="J53" s="112"/>
    </row>
    <row r="54" spans="1:10" ht="12.75">
      <c r="A54" s="38"/>
      <c r="B54" s="39"/>
      <c r="C54" s="39"/>
      <c r="D54" s="36"/>
      <c r="E54" s="37"/>
      <c r="F54" s="113"/>
      <c r="G54" s="114"/>
      <c r="H54" s="114"/>
      <c r="I54" s="111"/>
      <c r="J54" s="112"/>
    </row>
    <row r="55" spans="1:10" ht="12.75">
      <c r="A55" s="38" t="s">
        <v>50</v>
      </c>
      <c r="B55" s="40"/>
      <c r="C55" s="41" t="e">
        <f>+#REF!</f>
        <v>#REF!</v>
      </c>
      <c r="D55" s="36"/>
      <c r="E55" s="37"/>
      <c r="F55" s="113" t="s">
        <v>50</v>
      </c>
      <c r="G55" s="115"/>
      <c r="H55" s="116">
        <v>28231290</v>
      </c>
      <c r="I55" s="111"/>
      <c r="J55" s="112"/>
    </row>
    <row r="56" spans="1:10" ht="12.75">
      <c r="A56" s="38" t="s">
        <v>20</v>
      </c>
      <c r="B56" s="40"/>
      <c r="C56" s="41">
        <v>0</v>
      </c>
      <c r="D56" s="36"/>
      <c r="E56" s="37"/>
      <c r="F56" s="113" t="s">
        <v>20</v>
      </c>
      <c r="G56" s="115"/>
      <c r="H56" s="116">
        <v>0</v>
      </c>
      <c r="I56" s="111"/>
      <c r="J56" s="112"/>
    </row>
    <row r="57" spans="1:10" ht="12.75">
      <c r="A57" s="34" t="s">
        <v>6</v>
      </c>
      <c r="B57" s="35">
        <f>SUM(B55:B56)</f>
        <v>0</v>
      </c>
      <c r="C57" s="35" t="e">
        <f>+C55-C56</f>
        <v>#REF!</v>
      </c>
      <c r="D57" s="36"/>
      <c r="E57" s="37"/>
      <c r="F57" s="109" t="s">
        <v>6</v>
      </c>
      <c r="G57" s="110">
        <f>SUM(G55:G56)</f>
        <v>0</v>
      </c>
      <c r="H57" s="110">
        <f>SUM(H55:H56)</f>
        <v>28231290</v>
      </c>
      <c r="I57" s="111"/>
      <c r="J57" s="112"/>
    </row>
    <row r="58" spans="1:10" ht="12.75">
      <c r="A58" s="38" t="s">
        <v>21</v>
      </c>
      <c r="B58" s="40"/>
      <c r="C58" s="41" t="e">
        <f>+#REF!</f>
        <v>#REF!</v>
      </c>
      <c r="D58" s="36"/>
      <c r="E58" s="37"/>
      <c r="F58" s="113" t="s">
        <v>21</v>
      </c>
      <c r="G58" s="115"/>
      <c r="H58" s="116" t="e">
        <f>+#REF!+#REF!</f>
        <v>#REF!</v>
      </c>
      <c r="I58" s="111"/>
      <c r="J58" s="112"/>
    </row>
    <row r="59" spans="1:10" ht="12.75">
      <c r="A59" s="38" t="s">
        <v>22</v>
      </c>
      <c r="B59" s="40"/>
      <c r="C59" s="41" t="e">
        <f>+#REF!</f>
        <v>#REF!</v>
      </c>
      <c r="D59" s="36"/>
      <c r="E59" s="37"/>
      <c r="F59" s="113" t="s">
        <v>22</v>
      </c>
      <c r="G59" s="115"/>
      <c r="H59" s="116" t="e">
        <f>+#REF!</f>
        <v>#REF!</v>
      </c>
      <c r="I59" s="111"/>
      <c r="J59" s="112"/>
    </row>
    <row r="60" spans="1:10" ht="12.75">
      <c r="A60" s="38" t="s">
        <v>23</v>
      </c>
      <c r="B60" s="40"/>
      <c r="C60" s="41">
        <v>0</v>
      </c>
      <c r="D60" s="36"/>
      <c r="E60" s="37"/>
      <c r="F60" s="113" t="s">
        <v>23</v>
      </c>
      <c r="G60" s="115"/>
      <c r="H60" s="116">
        <v>0</v>
      </c>
      <c r="I60" s="111"/>
      <c r="J60" s="112"/>
    </row>
    <row r="61" spans="1:10" ht="12.75">
      <c r="A61" s="34" t="s">
        <v>24</v>
      </c>
      <c r="B61" s="35">
        <f>+B57-B58-B59-B60</f>
        <v>0</v>
      </c>
      <c r="C61" s="35" t="e">
        <f>+C57-C58-C59-C60</f>
        <v>#REF!</v>
      </c>
      <c r="D61" s="36"/>
      <c r="E61" s="37"/>
      <c r="F61" s="109" t="s">
        <v>24</v>
      </c>
      <c r="G61" s="110">
        <f>+G57-G58-G59-G60</f>
        <v>0</v>
      </c>
      <c r="H61" s="110" t="e">
        <f>+H57-H58-H59-H60</f>
        <v>#REF!</v>
      </c>
      <c r="I61" s="111"/>
      <c r="J61" s="112"/>
    </row>
    <row r="62" spans="1:10" ht="12.75">
      <c r="A62" s="43" t="s">
        <v>25</v>
      </c>
      <c r="B62" s="40">
        <f>+B61*0.3</f>
        <v>0</v>
      </c>
      <c r="C62" s="40" t="e">
        <f>+C61*0.25</f>
        <v>#REF!</v>
      </c>
      <c r="D62" s="40"/>
      <c r="E62" s="37"/>
      <c r="F62" s="117" t="s">
        <v>25</v>
      </c>
      <c r="G62" s="115">
        <f>+G61*0.3</f>
        <v>0</v>
      </c>
      <c r="H62" s="115" t="e">
        <f>+H61*0.25</f>
        <v>#REF!</v>
      </c>
      <c r="I62" s="115"/>
      <c r="J62" s="112"/>
    </row>
    <row r="63" spans="1:10" ht="12.75">
      <c r="A63" s="43"/>
      <c r="B63" s="40">
        <f>+B61-B62</f>
        <v>0</v>
      </c>
      <c r="C63" s="40" t="e">
        <f>+C61-C62</f>
        <v>#REF!</v>
      </c>
      <c r="D63" s="40" t="e">
        <f>SUM(B63:C63)</f>
        <v>#REF!</v>
      </c>
      <c r="E63" s="103">
        <v>0.15</v>
      </c>
      <c r="F63" s="117"/>
      <c r="G63" s="115">
        <f>+G61-G62</f>
        <v>0</v>
      </c>
      <c r="H63" s="115" t="e">
        <f>+H61-H62</f>
        <v>#REF!</v>
      </c>
      <c r="I63" s="115" t="e">
        <f>SUM(G63:H63)</f>
        <v>#REF!</v>
      </c>
      <c r="J63" s="112"/>
    </row>
    <row r="64" spans="1:10" ht="12.75">
      <c r="A64" s="34" t="s">
        <v>26</v>
      </c>
      <c r="B64" s="35"/>
      <c r="C64" s="35"/>
      <c r="D64" s="35" t="e">
        <f>+D63/1</f>
        <v>#REF!</v>
      </c>
      <c r="E64" s="40">
        <v>736149</v>
      </c>
      <c r="F64" s="109" t="s">
        <v>26</v>
      </c>
      <c r="G64" s="110"/>
      <c r="H64" s="110"/>
      <c r="I64" s="110" t="e">
        <f>+I63/1</f>
        <v>#REF!</v>
      </c>
      <c r="J64" s="136" t="e">
        <f>+I64*0.15</f>
        <v>#REF!</v>
      </c>
    </row>
    <row r="65" spans="1:10" ht="12.75">
      <c r="A65" s="38" t="s">
        <v>27</v>
      </c>
      <c r="B65" s="40"/>
      <c r="C65" s="40" t="s">
        <v>62</v>
      </c>
      <c r="D65" s="40">
        <f>IF(E64&gt;E66,E66,E64)</f>
        <v>736149</v>
      </c>
      <c r="E65" s="98" t="s">
        <v>70</v>
      </c>
      <c r="F65" s="113" t="s">
        <v>27</v>
      </c>
      <c r="G65" s="115"/>
      <c r="H65" s="115"/>
      <c r="I65" s="115">
        <v>150750</v>
      </c>
      <c r="J65" s="119" t="s">
        <v>70</v>
      </c>
    </row>
    <row r="66" spans="1:10" ht="12.75">
      <c r="A66" s="38" t="s">
        <v>68</v>
      </c>
      <c r="B66" s="40"/>
      <c r="C66" s="40"/>
      <c r="D66" s="40" t="e">
        <f>+#REF!</f>
        <v>#REF!</v>
      </c>
      <c r="E66" s="98">
        <f>9061000/12</f>
        <v>755083.3333333334</v>
      </c>
      <c r="F66" s="113" t="s">
        <v>68</v>
      </c>
      <c r="G66" s="115"/>
      <c r="H66" s="115"/>
      <c r="I66" s="115" t="e">
        <f>+#REF!</f>
        <v>#REF!</v>
      </c>
      <c r="J66" s="112"/>
    </row>
    <row r="67" spans="1:10" ht="12.75">
      <c r="A67" s="34" t="s">
        <v>28</v>
      </c>
      <c r="B67" s="35"/>
      <c r="C67" s="35"/>
      <c r="D67" s="35" t="e">
        <f>+D64-D65-D66</f>
        <v>#REF!</v>
      </c>
      <c r="E67" s="37"/>
      <c r="F67" s="109" t="s">
        <v>28</v>
      </c>
      <c r="G67" s="110"/>
      <c r="H67" s="110"/>
      <c r="I67" s="110" t="e">
        <f>+I64-I65-I66</f>
        <v>#REF!</v>
      </c>
      <c r="J67" s="112"/>
    </row>
    <row r="68" spans="1:10" ht="12.75">
      <c r="A68" s="34" t="s">
        <v>29</v>
      </c>
      <c r="B68" s="44"/>
      <c r="C68" s="69"/>
      <c r="D68" s="44"/>
      <c r="E68" s="37"/>
      <c r="F68" s="109" t="s">
        <v>29</v>
      </c>
      <c r="G68" s="120"/>
      <c r="H68" s="120"/>
      <c r="I68" s="120"/>
      <c r="J68" s="112"/>
    </row>
    <row r="69" spans="1:10" ht="13.5" thickBot="1">
      <c r="A69" s="46"/>
      <c r="B69" s="47"/>
      <c r="C69" s="47"/>
      <c r="D69" s="47"/>
      <c r="E69" s="48"/>
      <c r="F69" s="121"/>
      <c r="G69" s="122"/>
      <c r="H69" s="122"/>
      <c r="I69" s="122"/>
      <c r="J69" s="123"/>
    </row>
    <row r="70" spans="1:10" ht="13.5" thickBot="1">
      <c r="A70" s="46"/>
      <c r="B70" s="47"/>
      <c r="C70" s="47"/>
      <c r="D70" s="47"/>
      <c r="E70" s="48"/>
      <c r="F70" s="109" t="s">
        <v>28</v>
      </c>
      <c r="G70" s="110">
        <f>I68</f>
        <v>0</v>
      </c>
      <c r="H70" s="111"/>
      <c r="I70" s="124" t="s">
        <v>30</v>
      </c>
      <c r="J70" s="125">
        <v>24555</v>
      </c>
    </row>
    <row r="71" spans="1:10" ht="13.5" thickBot="1">
      <c r="A71" s="50" t="s">
        <v>28</v>
      </c>
      <c r="B71" s="35">
        <f>D68</f>
        <v>0</v>
      </c>
      <c r="C71" s="36"/>
      <c r="D71" s="141" t="s">
        <v>85</v>
      </c>
      <c r="E71" s="52">
        <v>24555</v>
      </c>
      <c r="F71" s="109" t="s">
        <v>79</v>
      </c>
      <c r="G71" s="126" t="e">
        <f>(+J72-95)*19/100</f>
        <v>#REF!</v>
      </c>
      <c r="H71" s="126" t="e">
        <f>+G71</f>
        <v>#REF!</v>
      </c>
      <c r="I71" s="126"/>
      <c r="J71" s="127" t="e">
        <f>+I67</f>
        <v>#REF!</v>
      </c>
    </row>
    <row r="72" spans="1:10" ht="15.75" thickBot="1">
      <c r="A72" s="50" t="s">
        <v>104</v>
      </c>
      <c r="B72" s="53" t="e">
        <f>(+E73-95)*19/100</f>
        <v>#REF!</v>
      </c>
      <c r="C72" s="53"/>
      <c r="D72" s="53"/>
      <c r="E72" s="54" t="e">
        <f>+D67</f>
        <v>#REF!</v>
      </c>
      <c r="F72" s="128" t="s">
        <v>47</v>
      </c>
      <c r="G72" s="129">
        <v>24555</v>
      </c>
      <c r="H72" s="76" t="e">
        <f>IF(H71&gt;0,ROUND(G72*H71,-2),0)</f>
        <v>#REF!</v>
      </c>
      <c r="I72" s="75" t="e">
        <f>+H72</f>
        <v>#REF!</v>
      </c>
      <c r="J72" s="130" t="e">
        <f>ROUND(J71/J70,0)</f>
        <v>#REF!</v>
      </c>
    </row>
    <row r="73" spans="1:12" ht="15.75" thickBot="1">
      <c r="A73" s="55" t="s">
        <v>84</v>
      </c>
      <c r="B73" s="56"/>
      <c r="C73" s="76" t="e">
        <f>IF(B72&gt;0,ROUND(B72*E71,-2),0)</f>
        <v>#REF!</v>
      </c>
      <c r="D73" s="57"/>
      <c r="E73" s="58" t="e">
        <f>ROUND(E72/E71,0)</f>
        <v>#REF!</v>
      </c>
      <c r="F73" s="131"/>
      <c r="G73" s="132"/>
      <c r="H73" s="133" t="e">
        <f>+H71</f>
        <v>#REF!</v>
      </c>
      <c r="I73" s="132"/>
      <c r="J73" s="134"/>
      <c r="L73" s="8"/>
    </row>
    <row r="74" spans="1:12" ht="13.5" thickBot="1">
      <c r="A74" s="59"/>
      <c r="B74" s="140" t="s">
        <v>82</v>
      </c>
      <c r="C74" s="68" t="e">
        <f>ROUND(+D67*0.0954,-3)</f>
        <v>#REF!</v>
      </c>
      <c r="D74" s="60"/>
      <c r="E74" s="61"/>
      <c r="H74" s="8" t="e">
        <f>+H72-0</f>
        <v>#REF!</v>
      </c>
      <c r="L74" s="8" t="e">
        <f>+C74+H51</f>
        <v>#REF!</v>
      </c>
    </row>
    <row r="75" spans="3:8" ht="13.5" thickBot="1">
      <c r="C75" s="8"/>
      <c r="H75" s="8"/>
    </row>
    <row r="76" spans="1:10" ht="12.75">
      <c r="A76" s="29" t="s">
        <v>72</v>
      </c>
      <c r="B76" s="30"/>
      <c r="C76" s="31"/>
      <c r="D76" s="31"/>
      <c r="E76" s="32"/>
      <c r="F76" s="29" t="e">
        <f>+#REF!</f>
        <v>#REF!</v>
      </c>
      <c r="G76" s="30"/>
      <c r="H76" s="31"/>
      <c r="I76" s="31"/>
      <c r="J76" s="32"/>
    </row>
    <row r="77" spans="1:10" ht="12.75">
      <c r="A77" s="34" t="s">
        <v>19</v>
      </c>
      <c r="B77" s="35"/>
      <c r="C77" s="36"/>
      <c r="D77" s="36"/>
      <c r="E77" s="37"/>
      <c r="F77" s="34" t="s">
        <v>19</v>
      </c>
      <c r="G77" s="35"/>
      <c r="H77" s="36"/>
      <c r="I77" s="36"/>
      <c r="J77" s="37"/>
    </row>
    <row r="78" spans="1:10" ht="12.75">
      <c r="A78" s="38" t="s">
        <v>26</v>
      </c>
      <c r="B78" s="39"/>
      <c r="C78" s="39"/>
      <c r="D78" s="36"/>
      <c r="E78" s="37"/>
      <c r="F78" s="38"/>
      <c r="G78" s="39"/>
      <c r="H78" s="39"/>
      <c r="I78" s="36"/>
      <c r="J78" s="37"/>
    </row>
    <row r="79" spans="1:10" ht="12.75">
      <c r="A79" s="38" t="s">
        <v>50</v>
      </c>
      <c r="B79" s="40"/>
      <c r="C79" s="41" t="e">
        <f>+#REF!</f>
        <v>#REF!</v>
      </c>
      <c r="D79" s="36"/>
      <c r="E79" s="37"/>
      <c r="F79" s="38" t="s">
        <v>50</v>
      </c>
      <c r="G79" s="40"/>
      <c r="H79" s="41" t="e">
        <f>+#REF!</f>
        <v>#REF!</v>
      </c>
      <c r="I79" s="36"/>
      <c r="J79" s="37"/>
    </row>
    <row r="80" spans="1:10" ht="12.75">
      <c r="A80" s="38" t="s">
        <v>20</v>
      </c>
      <c r="B80" s="40"/>
      <c r="C80" s="41">
        <v>0</v>
      </c>
      <c r="D80" s="36"/>
      <c r="E80" s="37"/>
      <c r="F80" s="38" t="s">
        <v>20</v>
      </c>
      <c r="G80" s="40"/>
      <c r="H80" s="41">
        <v>0</v>
      </c>
      <c r="I80" s="36"/>
      <c r="J80" s="37"/>
    </row>
    <row r="81" spans="1:10" ht="12.75">
      <c r="A81" s="34" t="s">
        <v>6</v>
      </c>
      <c r="B81" s="35">
        <f>SUM(B79:B80)</f>
        <v>0</v>
      </c>
      <c r="C81" s="35" t="e">
        <f>+C79-C80</f>
        <v>#REF!</v>
      </c>
      <c r="D81" s="36"/>
      <c r="E81" s="37"/>
      <c r="F81" s="34" t="s">
        <v>6</v>
      </c>
      <c r="G81" s="35">
        <f>SUM(G79:G80)</f>
        <v>0</v>
      </c>
      <c r="H81" s="35" t="e">
        <f>+H79-H80</f>
        <v>#REF!</v>
      </c>
      <c r="I81" s="36"/>
      <c r="J81" s="37"/>
    </row>
    <row r="82" spans="1:10" ht="12.75">
      <c r="A82" s="38" t="s">
        <v>21</v>
      </c>
      <c r="B82" s="40"/>
      <c r="C82" s="41" t="e">
        <f>+#REF!</f>
        <v>#REF!</v>
      </c>
      <c r="D82" s="36"/>
      <c r="E82" s="37"/>
      <c r="F82" s="38" t="s">
        <v>21</v>
      </c>
      <c r="G82" s="40"/>
      <c r="H82" s="41" t="e">
        <f>+#REF!</f>
        <v>#REF!</v>
      </c>
      <c r="I82" s="36"/>
      <c r="J82" s="37"/>
    </row>
    <row r="83" spans="1:10" ht="12.75">
      <c r="A83" s="38" t="s">
        <v>22</v>
      </c>
      <c r="B83" s="40"/>
      <c r="C83" s="41" t="e">
        <f>+#REF!</f>
        <v>#REF!</v>
      </c>
      <c r="D83" s="36"/>
      <c r="E83" s="37"/>
      <c r="F83" s="38" t="s">
        <v>22</v>
      </c>
      <c r="G83" s="40"/>
      <c r="H83" s="41" t="e">
        <f>+#REF!</f>
        <v>#REF!</v>
      </c>
      <c r="I83" s="36"/>
      <c r="J83" s="37"/>
    </row>
    <row r="84" spans="1:10" ht="12.75">
      <c r="A84" s="38" t="s">
        <v>23</v>
      </c>
      <c r="B84" s="40"/>
      <c r="C84" s="41">
        <v>0</v>
      </c>
      <c r="D84" s="36"/>
      <c r="E84" s="37"/>
      <c r="F84" s="38" t="s">
        <v>23</v>
      </c>
      <c r="G84" s="40"/>
      <c r="H84" s="41">
        <v>0</v>
      </c>
      <c r="I84" s="36"/>
      <c r="J84" s="37"/>
    </row>
    <row r="85" spans="1:10" ht="12.75">
      <c r="A85" s="34" t="s">
        <v>24</v>
      </c>
      <c r="B85" s="35">
        <f>+B81-B82-B83-B84</f>
        <v>0</v>
      </c>
      <c r="C85" s="35" t="e">
        <f>+C81-C82-C83-C84</f>
        <v>#REF!</v>
      </c>
      <c r="D85" s="36"/>
      <c r="E85" s="37"/>
      <c r="F85" s="34" t="s">
        <v>24</v>
      </c>
      <c r="G85" s="35">
        <f>+G81-G82-G83-G84</f>
        <v>0</v>
      </c>
      <c r="H85" s="35" t="e">
        <f>+H81-H82-H83-H84</f>
        <v>#REF!</v>
      </c>
      <c r="I85" s="36"/>
      <c r="J85" s="37"/>
    </row>
    <row r="86" spans="1:10" ht="12.75">
      <c r="A86" s="43" t="s">
        <v>25</v>
      </c>
      <c r="B86" s="40">
        <f>+B85*0.3</f>
        <v>0</v>
      </c>
      <c r="C86" s="40" t="e">
        <f>+C85*0.25</f>
        <v>#REF!</v>
      </c>
      <c r="D86" s="40"/>
      <c r="E86" s="37"/>
      <c r="F86" s="43" t="s">
        <v>25</v>
      </c>
      <c r="G86" s="40">
        <f>+G85*0.3</f>
        <v>0</v>
      </c>
      <c r="H86" s="40" t="e">
        <f>+H85*0.25</f>
        <v>#REF!</v>
      </c>
      <c r="I86" s="40"/>
      <c r="J86" s="37"/>
    </row>
    <row r="87" spans="1:10" ht="12.75">
      <c r="A87" s="43"/>
      <c r="B87" s="40">
        <f>+B85-B86</f>
        <v>0</v>
      </c>
      <c r="C87" s="40" t="e">
        <f>+C85-C86</f>
        <v>#REF!</v>
      </c>
      <c r="D87" s="40" t="e">
        <f>SUM(B87:C87)</f>
        <v>#REF!</v>
      </c>
      <c r="E87" s="104" t="s">
        <v>73</v>
      </c>
      <c r="F87" s="43"/>
      <c r="G87" s="40">
        <f>+G85-G86</f>
        <v>0</v>
      </c>
      <c r="H87" s="40" t="e">
        <f>+H85-H86</f>
        <v>#REF!</v>
      </c>
      <c r="I87" s="40" t="e">
        <f>SUM(G87:H87)</f>
        <v>#REF!</v>
      </c>
      <c r="J87" s="99" t="e">
        <f>+I87*0.15</f>
        <v>#REF!</v>
      </c>
    </row>
    <row r="88" spans="1:10" ht="12.75">
      <c r="A88" s="34" t="s">
        <v>26</v>
      </c>
      <c r="B88" s="35"/>
      <c r="C88" s="35"/>
      <c r="D88" s="35" t="e">
        <f>+D87/1</f>
        <v>#REF!</v>
      </c>
      <c r="E88" s="37" t="e">
        <f>+D88*0.15</f>
        <v>#REF!</v>
      </c>
      <c r="F88" s="34" t="s">
        <v>26</v>
      </c>
      <c r="G88" s="35"/>
      <c r="H88" s="35"/>
      <c r="I88" s="35" t="e">
        <f>+I87/1</f>
        <v>#REF!</v>
      </c>
      <c r="J88" s="37"/>
    </row>
    <row r="89" spans="1:16" ht="12.75">
      <c r="A89" s="38" t="s">
        <v>27</v>
      </c>
      <c r="B89" s="40"/>
      <c r="C89" s="40"/>
      <c r="D89" s="40">
        <v>522076</v>
      </c>
      <c r="E89" s="37"/>
      <c r="F89" s="38" t="s">
        <v>27</v>
      </c>
      <c r="G89" s="40"/>
      <c r="H89" s="40" t="s">
        <v>62</v>
      </c>
      <c r="I89" s="40">
        <v>870624</v>
      </c>
      <c r="J89" s="98" t="s">
        <v>70</v>
      </c>
      <c r="N89" s="1">
        <f>703935/12</f>
        <v>58661.25</v>
      </c>
      <c r="O89" s="1">
        <f>1044000+765000</f>
        <v>1809000</v>
      </c>
      <c r="P89" s="1">
        <f>+O89/12</f>
        <v>150750</v>
      </c>
    </row>
    <row r="90" spans="1:10" ht="12.75">
      <c r="A90" s="38" t="s">
        <v>68</v>
      </c>
      <c r="B90" s="40"/>
      <c r="C90" s="40"/>
      <c r="D90" s="40" t="e">
        <f>+#REF!</f>
        <v>#REF!</v>
      </c>
      <c r="E90" s="98"/>
      <c r="F90" s="38" t="s">
        <v>68</v>
      </c>
      <c r="G90" s="40"/>
      <c r="H90" s="40"/>
      <c r="I90" s="40" t="e">
        <f>+#REF!</f>
        <v>#REF!</v>
      </c>
      <c r="J90" s="98"/>
    </row>
    <row r="91" spans="1:10" ht="12.75">
      <c r="A91" s="34" t="s">
        <v>28</v>
      </c>
      <c r="B91" s="35"/>
      <c r="C91" s="35"/>
      <c r="D91" s="35" t="e">
        <f>+D88-D89-D90</f>
        <v>#REF!</v>
      </c>
      <c r="E91" s="37"/>
      <c r="F91" s="34" t="s">
        <v>28</v>
      </c>
      <c r="G91" s="35"/>
      <c r="H91" s="35"/>
      <c r="I91" s="35" t="e">
        <f>+I88-I89-I90</f>
        <v>#REF!</v>
      </c>
      <c r="J91" s="37"/>
    </row>
    <row r="92" spans="1:10" ht="12.75">
      <c r="A92" s="34" t="s">
        <v>29</v>
      </c>
      <c r="B92" s="44"/>
      <c r="C92" s="44"/>
      <c r="D92" s="44"/>
      <c r="E92" s="37"/>
      <c r="F92" s="34" t="s">
        <v>29</v>
      </c>
      <c r="G92" s="44"/>
      <c r="H92" s="44"/>
      <c r="I92" s="44"/>
      <c r="J92" s="37"/>
    </row>
    <row r="93" spans="1:10" ht="13.5" thickBot="1">
      <c r="A93" s="46"/>
      <c r="B93" s="47"/>
      <c r="C93" s="47"/>
      <c r="D93" s="47"/>
      <c r="E93" s="48"/>
      <c r="F93" s="46"/>
      <c r="G93" s="47"/>
      <c r="H93" s="47"/>
      <c r="I93" s="47"/>
      <c r="J93" s="48"/>
    </row>
    <row r="94" spans="1:10" ht="12.75">
      <c r="A94" s="50" t="s">
        <v>28</v>
      </c>
      <c r="B94" s="35" t="e">
        <f>D91</f>
        <v>#REF!</v>
      </c>
      <c r="C94" s="36"/>
      <c r="D94" s="51" t="s">
        <v>30</v>
      </c>
      <c r="E94" s="52">
        <v>24555</v>
      </c>
      <c r="F94" s="50" t="s">
        <v>28</v>
      </c>
      <c r="G94" s="35">
        <f>I92</f>
        <v>0</v>
      </c>
      <c r="H94" s="36"/>
      <c r="I94" s="141" t="s">
        <v>102</v>
      </c>
      <c r="J94" s="52">
        <v>24555</v>
      </c>
    </row>
    <row r="95" spans="1:10" ht="13.5" thickBot="1">
      <c r="A95" s="50" t="s">
        <v>105</v>
      </c>
      <c r="B95" s="53" t="e">
        <f>(+E96-95)*19/100</f>
        <v>#REF!</v>
      </c>
      <c r="C95" s="53" t="e">
        <f>B95</f>
        <v>#REF!</v>
      </c>
      <c r="D95" s="53"/>
      <c r="E95" s="54" t="e">
        <f>+D91</f>
        <v>#REF!</v>
      </c>
      <c r="F95" s="50" t="s">
        <v>103</v>
      </c>
      <c r="G95" s="53" t="e">
        <f>(+J96-95)*19/100</f>
        <v>#REF!</v>
      </c>
      <c r="H95" s="53"/>
      <c r="I95" s="53"/>
      <c r="J95" s="54" t="e">
        <f>+I91</f>
        <v>#REF!</v>
      </c>
    </row>
    <row r="96" spans="1:12" ht="15.75" thickBot="1">
      <c r="A96" s="55" t="s">
        <v>45</v>
      </c>
      <c r="B96" s="56">
        <v>24555</v>
      </c>
      <c r="C96" s="76" t="e">
        <f>ROUND(B96*C97,-3)</f>
        <v>#REF!</v>
      </c>
      <c r="D96" s="57" t="e">
        <f>+C96</f>
        <v>#REF!</v>
      </c>
      <c r="E96" s="58" t="e">
        <f>E95/E94</f>
        <v>#REF!</v>
      </c>
      <c r="F96" s="55" t="s">
        <v>48</v>
      </c>
      <c r="G96" s="56"/>
      <c r="H96" s="67" t="e">
        <f>IF(G95&gt;0,ROUND(J94*G95,-2),0)</f>
        <v>#REF!</v>
      </c>
      <c r="I96" s="57" t="e">
        <f>+H96</f>
        <v>#REF!</v>
      </c>
      <c r="J96" s="58" t="e">
        <f>ROUND(J95/J94,0)</f>
        <v>#REF!</v>
      </c>
      <c r="L96" s="8" t="e">
        <f>+C96+H72</f>
        <v>#REF!</v>
      </c>
    </row>
    <row r="97" spans="1:10" ht="13.5" thickBot="1">
      <c r="A97" s="59"/>
      <c r="B97" s="60"/>
      <c r="C97" s="68" t="e">
        <f>+C95</f>
        <v>#REF!</v>
      </c>
      <c r="D97" s="60"/>
      <c r="E97" s="61"/>
      <c r="F97" s="59"/>
      <c r="G97" s="140" t="s">
        <v>82</v>
      </c>
      <c r="H97" s="68" t="e">
        <f>ROUND(+I91*0.0563,-3)</f>
        <v>#REF!</v>
      </c>
      <c r="I97" s="60"/>
      <c r="J97" s="61"/>
    </row>
    <row r="98" spans="3:10" ht="13.5" thickBot="1">
      <c r="C98" s="8"/>
      <c r="D98" s="9"/>
      <c r="H98" s="8"/>
      <c r="J98" s="1" t="s">
        <v>15</v>
      </c>
    </row>
    <row r="99" spans="1:10" ht="12.75">
      <c r="A99" s="105" t="e">
        <f>+#REF!</f>
        <v>#REF!</v>
      </c>
      <c r="B99" s="106"/>
      <c r="C99" s="107"/>
      <c r="D99" s="107"/>
      <c r="E99" s="108"/>
      <c r="F99" s="137" t="e">
        <f>+#REF!</f>
        <v>#REF!</v>
      </c>
      <c r="G99" s="106"/>
      <c r="H99" s="107"/>
      <c r="I99" s="107"/>
      <c r="J99" s="108"/>
    </row>
    <row r="100" spans="1:10" ht="12.75">
      <c r="A100" s="109" t="s">
        <v>19</v>
      </c>
      <c r="B100" s="110"/>
      <c r="C100" s="111"/>
      <c r="D100" s="111"/>
      <c r="E100" s="112"/>
      <c r="F100" s="109" t="s">
        <v>19</v>
      </c>
      <c r="G100" s="110"/>
      <c r="H100" s="111"/>
      <c r="I100" s="111"/>
      <c r="J100" s="112"/>
    </row>
    <row r="101" spans="1:10" ht="12.75">
      <c r="A101" s="113"/>
      <c r="B101" s="114"/>
      <c r="C101" s="114"/>
      <c r="D101" s="111"/>
      <c r="E101" s="112"/>
      <c r="F101" s="113"/>
      <c r="G101" s="114"/>
      <c r="H101" s="114"/>
      <c r="I101" s="111"/>
      <c r="J101" s="112"/>
    </row>
    <row r="102" spans="1:10" ht="12.75">
      <c r="A102" s="113" t="s">
        <v>50</v>
      </c>
      <c r="B102" s="115"/>
      <c r="C102" s="116" t="e">
        <f>+#REF!</f>
        <v>#REF!</v>
      </c>
      <c r="D102" s="111"/>
      <c r="E102" s="112"/>
      <c r="F102" s="113" t="s">
        <v>50</v>
      </c>
      <c r="G102" s="115"/>
      <c r="H102" s="116" t="e">
        <f>+#REF!</f>
        <v>#REF!</v>
      </c>
      <c r="I102" s="111"/>
      <c r="J102" s="112"/>
    </row>
    <row r="103" spans="1:10" ht="12.75">
      <c r="A103" s="113" t="s">
        <v>20</v>
      </c>
      <c r="B103" s="115"/>
      <c r="C103" s="116">
        <v>0</v>
      </c>
      <c r="D103" s="111"/>
      <c r="E103" s="112"/>
      <c r="F103" s="113" t="s">
        <v>20</v>
      </c>
      <c r="G103" s="115"/>
      <c r="H103" s="116">
        <v>0</v>
      </c>
      <c r="I103" s="111"/>
      <c r="J103" s="112"/>
    </row>
    <row r="104" spans="1:10" ht="12.75">
      <c r="A104" s="109" t="s">
        <v>6</v>
      </c>
      <c r="B104" s="110">
        <f>SUM(B102:B103)</f>
        <v>0</v>
      </c>
      <c r="C104" s="110" t="e">
        <f>+C102-C103</f>
        <v>#REF!</v>
      </c>
      <c r="D104" s="111"/>
      <c r="E104" s="112"/>
      <c r="F104" s="109" t="s">
        <v>6</v>
      </c>
      <c r="G104" s="110">
        <f>SUM(G102:G103)</f>
        <v>0</v>
      </c>
      <c r="H104" s="110" t="e">
        <f>+H102-H103</f>
        <v>#REF!</v>
      </c>
      <c r="I104" s="111"/>
      <c r="J104" s="112"/>
    </row>
    <row r="105" spans="1:10" ht="12.75">
      <c r="A105" s="113" t="s">
        <v>21</v>
      </c>
      <c r="B105" s="115"/>
      <c r="C105" s="116" t="e">
        <f>+#REF!+#REF!</f>
        <v>#REF!</v>
      </c>
      <c r="D105" s="111"/>
      <c r="E105" s="112"/>
      <c r="F105" s="113" t="s">
        <v>21</v>
      </c>
      <c r="G105" s="115"/>
      <c r="H105" s="116" t="e">
        <f>+#REF!</f>
        <v>#REF!</v>
      </c>
      <c r="I105" s="111"/>
      <c r="J105" s="112"/>
    </row>
    <row r="106" spans="1:10" ht="12.75">
      <c r="A106" s="113" t="s">
        <v>22</v>
      </c>
      <c r="B106" s="115"/>
      <c r="C106" s="116" t="e">
        <f>+#REF!</f>
        <v>#REF!</v>
      </c>
      <c r="D106" s="111"/>
      <c r="E106" s="112"/>
      <c r="F106" s="113" t="s">
        <v>22</v>
      </c>
      <c r="G106" s="115"/>
      <c r="H106" s="116" t="e">
        <f>+#REF!</f>
        <v>#REF!</v>
      </c>
      <c r="I106" s="111"/>
      <c r="J106" s="112"/>
    </row>
    <row r="107" spans="1:10" ht="12.75">
      <c r="A107" s="113" t="s">
        <v>23</v>
      </c>
      <c r="B107" s="115"/>
      <c r="C107" s="116">
        <v>0</v>
      </c>
      <c r="D107" s="111"/>
      <c r="E107" s="112"/>
      <c r="F107" s="113" t="s">
        <v>23</v>
      </c>
      <c r="G107" s="115"/>
      <c r="H107" s="116">
        <v>0</v>
      </c>
      <c r="I107" s="111"/>
      <c r="J107" s="112"/>
    </row>
    <row r="108" spans="1:10" ht="12.75">
      <c r="A108" s="109" t="s">
        <v>24</v>
      </c>
      <c r="B108" s="110">
        <f>+B104-B105-B106-B107</f>
        <v>0</v>
      </c>
      <c r="C108" s="110" t="e">
        <f>+C104-C105-C106-C107</f>
        <v>#REF!</v>
      </c>
      <c r="D108" s="111"/>
      <c r="E108" s="112"/>
      <c r="F108" s="109" t="s">
        <v>24</v>
      </c>
      <c r="G108" s="110">
        <f>+G104-G105-G106-G107</f>
        <v>0</v>
      </c>
      <c r="H108" s="110" t="e">
        <f>+H104-H105-H106-H107</f>
        <v>#REF!</v>
      </c>
      <c r="I108" s="111"/>
      <c r="J108" s="112"/>
    </row>
    <row r="109" spans="1:10" ht="12.75">
      <c r="A109" s="117" t="s">
        <v>25</v>
      </c>
      <c r="B109" s="115">
        <f>+B108*0.3</f>
        <v>0</v>
      </c>
      <c r="C109" s="115" t="e">
        <f>+C108*0.25</f>
        <v>#REF!</v>
      </c>
      <c r="D109" s="115"/>
      <c r="E109" s="112"/>
      <c r="F109" s="117" t="s">
        <v>25</v>
      </c>
      <c r="G109" s="115">
        <f>+G108*0.3</f>
        <v>0</v>
      </c>
      <c r="H109" s="115" t="e">
        <f>+H108*0.25</f>
        <v>#REF!</v>
      </c>
      <c r="I109" s="115"/>
      <c r="J109" s="112"/>
    </row>
    <row r="110" spans="1:10" ht="12.75">
      <c r="A110" s="117"/>
      <c r="B110" s="115">
        <f>+B108-B109</f>
        <v>0</v>
      </c>
      <c r="C110" s="115" t="e">
        <f>+C108-C109</f>
        <v>#REF!</v>
      </c>
      <c r="D110" s="115" t="e">
        <f>SUM(B110:C110)</f>
        <v>#REF!</v>
      </c>
      <c r="E110" s="112"/>
      <c r="F110" s="117"/>
      <c r="G110" s="115">
        <f>+G108-G109</f>
        <v>0</v>
      </c>
      <c r="H110" s="115" t="e">
        <f>+H108-H109</f>
        <v>#REF!</v>
      </c>
      <c r="I110" s="115" t="e">
        <f>SUM(G110:H110)</f>
        <v>#REF!</v>
      </c>
      <c r="J110" s="112" t="s">
        <v>73</v>
      </c>
    </row>
    <row r="111" spans="1:10" ht="12.75">
      <c r="A111" s="109" t="s">
        <v>26</v>
      </c>
      <c r="B111" s="110"/>
      <c r="C111" s="110"/>
      <c r="D111" s="110" t="e">
        <f>+D110/1</f>
        <v>#REF!</v>
      </c>
      <c r="E111" s="112"/>
      <c r="F111" s="109" t="s">
        <v>26</v>
      </c>
      <c r="G111" s="110"/>
      <c r="H111" s="110"/>
      <c r="I111" s="110" t="e">
        <f>+I110/1</f>
        <v>#REF!</v>
      </c>
      <c r="J111" s="118" t="e">
        <f>+I111*0.15</f>
        <v>#REF!</v>
      </c>
    </row>
    <row r="112" spans="1:11" ht="12.75">
      <c r="A112" s="113" t="s">
        <v>27</v>
      </c>
      <c r="B112" s="115"/>
      <c r="C112" s="115"/>
      <c r="D112" s="115">
        <v>0</v>
      </c>
      <c r="E112" s="112"/>
      <c r="F112" s="113" t="s">
        <v>76</v>
      </c>
      <c r="G112" s="115"/>
      <c r="H112" s="115"/>
      <c r="I112" s="115">
        <v>0</v>
      </c>
      <c r="J112" s="119" t="s">
        <v>70</v>
      </c>
      <c r="K112" s="1">
        <f>8478655/12</f>
        <v>706554.5833333334</v>
      </c>
    </row>
    <row r="113" spans="1:10" ht="12.75">
      <c r="A113" s="113" t="s">
        <v>68</v>
      </c>
      <c r="B113" s="115"/>
      <c r="C113" s="115"/>
      <c r="D113" s="115" t="e">
        <f>+#REF!</f>
        <v>#REF!</v>
      </c>
      <c r="E113" s="119"/>
      <c r="F113" s="113" t="s">
        <v>68</v>
      </c>
      <c r="G113" s="115"/>
      <c r="H113" s="115"/>
      <c r="I113" s="115" t="e">
        <f>+#REF!</f>
        <v>#REF!</v>
      </c>
      <c r="J113" s="119"/>
    </row>
    <row r="114" spans="1:10" ht="12.75">
      <c r="A114" s="109" t="s">
        <v>28</v>
      </c>
      <c r="B114" s="110"/>
      <c r="C114" s="110"/>
      <c r="D114" s="110" t="e">
        <f>+D111-D112-D113</f>
        <v>#REF!</v>
      </c>
      <c r="E114" s="112"/>
      <c r="F114" s="109" t="s">
        <v>28</v>
      </c>
      <c r="G114" s="110"/>
      <c r="H114" s="110"/>
      <c r="I114" s="110" t="e">
        <f>+I111-I112-I113</f>
        <v>#REF!</v>
      </c>
      <c r="J114" s="112"/>
    </row>
    <row r="115" spans="1:10" ht="12.75">
      <c r="A115" s="109" t="s">
        <v>29</v>
      </c>
      <c r="B115" s="120"/>
      <c r="C115" s="120"/>
      <c r="D115" s="120"/>
      <c r="E115" s="112"/>
      <c r="F115" s="109" t="s">
        <v>29</v>
      </c>
      <c r="G115" s="120"/>
      <c r="H115" s="120"/>
      <c r="I115" s="120"/>
      <c r="J115" s="112"/>
    </row>
    <row r="116" spans="1:10" ht="13.5" thickBot="1">
      <c r="A116" s="121"/>
      <c r="B116" s="122"/>
      <c r="C116" s="122"/>
      <c r="D116" s="122"/>
      <c r="E116" s="123"/>
      <c r="F116" s="121"/>
      <c r="G116" s="122"/>
      <c r="H116" s="122"/>
      <c r="I116" s="122"/>
      <c r="J116" s="123"/>
    </row>
    <row r="117" spans="1:10" ht="12.75">
      <c r="A117" s="109" t="s">
        <v>28</v>
      </c>
      <c r="B117" s="110">
        <f>D115</f>
        <v>0</v>
      </c>
      <c r="C117" s="111"/>
      <c r="D117" s="124" t="s">
        <v>30</v>
      </c>
      <c r="E117" s="125">
        <v>24555</v>
      </c>
      <c r="F117" s="109" t="s">
        <v>28</v>
      </c>
      <c r="G117" s="110">
        <f>I115</f>
        <v>0</v>
      </c>
      <c r="H117" s="111"/>
      <c r="I117" s="124" t="s">
        <v>30</v>
      </c>
      <c r="J117" s="125">
        <v>24555</v>
      </c>
    </row>
    <row r="118" spans="1:10" ht="13.5" thickBot="1">
      <c r="A118" s="109" t="s">
        <v>80</v>
      </c>
      <c r="B118" s="126" t="e">
        <f>(+E119-95)*19/100</f>
        <v>#REF!</v>
      </c>
      <c r="C118" s="126" t="e">
        <f>+B118</f>
        <v>#REF!</v>
      </c>
      <c r="D118" s="126"/>
      <c r="E118" s="127" t="e">
        <f>+D114</f>
        <v>#REF!</v>
      </c>
      <c r="F118" s="109" t="s">
        <v>86</v>
      </c>
      <c r="G118" s="126" t="e">
        <f>(+J119-95)*19/100</f>
        <v>#REF!</v>
      </c>
      <c r="H118" s="138" t="e">
        <f>+G118</f>
        <v>#REF!</v>
      </c>
      <c r="I118" s="126"/>
      <c r="J118" s="127" t="e">
        <f>+I114</f>
        <v>#REF!</v>
      </c>
    </row>
    <row r="119" spans="1:12" ht="15.75" thickBot="1">
      <c r="A119" s="128" t="s">
        <v>46</v>
      </c>
      <c r="B119" s="129">
        <v>24555</v>
      </c>
      <c r="C119" s="76" t="e">
        <f>IF(C118&gt;0,ROUND(B119*C118,-2),0)</f>
        <v>#REF!</v>
      </c>
      <c r="D119" s="75" t="e">
        <f>+C119</f>
        <v>#REF!</v>
      </c>
      <c r="E119" s="130" t="e">
        <f>ROUND(E118/E117,0)</f>
        <v>#REF!</v>
      </c>
      <c r="F119" s="128" t="s">
        <v>41</v>
      </c>
      <c r="G119" s="129">
        <v>24555</v>
      </c>
      <c r="H119" s="76" t="e">
        <f>IF(H118&gt;0,ROUND(G119*H118,-2),0)</f>
        <v>#REF!</v>
      </c>
      <c r="I119" s="75" t="e">
        <f>+H119</f>
        <v>#REF!</v>
      </c>
      <c r="J119" s="130" t="e">
        <f>ROUND(J118/J117,0)</f>
        <v>#REF!</v>
      </c>
      <c r="L119" s="8"/>
    </row>
    <row r="120" spans="1:12" ht="11.25" customHeight="1" thickBot="1">
      <c r="A120" s="131"/>
      <c r="B120" s="140" t="s">
        <v>82</v>
      </c>
      <c r="C120" s="142">
        <v>0</v>
      </c>
      <c r="D120" s="132"/>
      <c r="E120" s="134"/>
      <c r="F120" s="131"/>
      <c r="G120" s="132"/>
      <c r="H120" s="132"/>
      <c r="I120" s="132"/>
      <c r="J120" s="134"/>
      <c r="L120" s="8" t="e">
        <f>+C120+H97</f>
        <v>#REF!</v>
      </c>
    </row>
    <row r="121" spans="1:10" ht="12.75">
      <c r="A121" s="70" t="e">
        <f>+#REF!</f>
        <v>#REF!</v>
      </c>
      <c r="B121" s="30"/>
      <c r="C121" s="31"/>
      <c r="D121" s="31"/>
      <c r="E121" s="32"/>
      <c r="F121" s="70" t="e">
        <f>+#REF!</f>
        <v>#REF!</v>
      </c>
      <c r="G121" s="30"/>
      <c r="H121" s="31"/>
      <c r="I121" s="31"/>
      <c r="J121" s="32"/>
    </row>
    <row r="122" spans="1:10" ht="12.75">
      <c r="A122" s="34" t="s">
        <v>19</v>
      </c>
      <c r="B122" s="35"/>
      <c r="C122" s="36"/>
      <c r="D122" s="36"/>
      <c r="E122" s="37"/>
      <c r="F122" s="34" t="s">
        <v>19</v>
      </c>
      <c r="G122" s="35"/>
      <c r="H122" s="36"/>
      <c r="I122" s="36"/>
      <c r="J122" s="37"/>
    </row>
    <row r="123" spans="1:10" ht="12.75">
      <c r="A123" s="38"/>
      <c r="B123" s="39"/>
      <c r="C123" s="39"/>
      <c r="D123" s="36"/>
      <c r="E123" s="37"/>
      <c r="F123" s="38"/>
      <c r="G123" s="39"/>
      <c r="H123" s="39"/>
      <c r="I123" s="36"/>
      <c r="J123" s="37"/>
    </row>
    <row r="124" spans="1:10" ht="12.75">
      <c r="A124" s="38" t="s">
        <v>50</v>
      </c>
      <c r="B124" s="40"/>
      <c r="C124" s="41" t="e">
        <f>+#REF!</f>
        <v>#REF!</v>
      </c>
      <c r="D124" s="36"/>
      <c r="E124" s="37"/>
      <c r="F124" s="38" t="s">
        <v>50</v>
      </c>
      <c r="G124" s="40"/>
      <c r="H124" s="41" t="e">
        <f>+#REF!</f>
        <v>#REF!</v>
      </c>
      <c r="I124" s="36"/>
      <c r="J124" s="37"/>
    </row>
    <row r="125" spans="1:10" ht="12.75">
      <c r="A125" s="38" t="s">
        <v>20</v>
      </c>
      <c r="B125" s="40"/>
      <c r="C125" s="41">
        <v>0</v>
      </c>
      <c r="D125" s="36"/>
      <c r="E125" s="37"/>
      <c r="F125" s="38" t="s">
        <v>20</v>
      </c>
      <c r="G125" s="40"/>
      <c r="H125" s="41">
        <v>0</v>
      </c>
      <c r="I125" s="36"/>
      <c r="J125" s="37"/>
    </row>
    <row r="126" spans="1:10" ht="12.75">
      <c r="A126" s="34" t="s">
        <v>6</v>
      </c>
      <c r="B126" s="35">
        <f>SUM(B124:B125)</f>
        <v>0</v>
      </c>
      <c r="C126" s="35" t="e">
        <f>SUM(C124:C125)</f>
        <v>#REF!</v>
      </c>
      <c r="D126" s="56"/>
      <c r="E126" s="37"/>
      <c r="F126" s="34" t="s">
        <v>6</v>
      </c>
      <c r="G126" s="35">
        <f>SUM(G124:G125)</f>
        <v>0</v>
      </c>
      <c r="H126" s="35" t="e">
        <f>SUM(H124:H125)</f>
        <v>#REF!</v>
      </c>
      <c r="I126" s="36"/>
      <c r="J126" s="37" t="e">
        <f>+H126*0.3-H127-H128</f>
        <v>#REF!</v>
      </c>
    </row>
    <row r="127" spans="1:10" ht="12.75">
      <c r="A127" s="38" t="s">
        <v>21</v>
      </c>
      <c r="B127" s="40"/>
      <c r="C127" s="41" t="e">
        <f>+#REF!</f>
        <v>#REF!</v>
      </c>
      <c r="D127" s="36"/>
      <c r="E127" s="37"/>
      <c r="F127" s="38" t="s">
        <v>21</v>
      </c>
      <c r="G127" s="40"/>
      <c r="H127" s="41" t="e">
        <f>+#REF!</f>
        <v>#REF!</v>
      </c>
      <c r="I127" s="36"/>
      <c r="J127" s="37"/>
    </row>
    <row r="128" spans="1:10" ht="12.75">
      <c r="A128" s="38" t="s">
        <v>22</v>
      </c>
      <c r="B128" s="40"/>
      <c r="C128" s="41" t="e">
        <f>+#REF!</f>
        <v>#REF!</v>
      </c>
      <c r="D128" s="36"/>
      <c r="E128" s="37"/>
      <c r="F128" s="38" t="s">
        <v>22</v>
      </c>
      <c r="G128" s="40"/>
      <c r="H128" s="41" t="e">
        <f>+#REF!</f>
        <v>#REF!</v>
      </c>
      <c r="I128" s="36"/>
      <c r="J128" s="37"/>
    </row>
    <row r="129" spans="1:10" ht="12.75">
      <c r="A129" s="38" t="s">
        <v>23</v>
      </c>
      <c r="B129" s="40"/>
      <c r="C129" s="41">
        <v>0</v>
      </c>
      <c r="D129" s="36"/>
      <c r="E129" s="37"/>
      <c r="F129" s="38" t="s">
        <v>69</v>
      </c>
      <c r="G129" s="40"/>
      <c r="H129" s="41">
        <v>0</v>
      </c>
      <c r="I129" s="36" t="s">
        <v>65</v>
      </c>
      <c r="J129" s="37"/>
    </row>
    <row r="130" spans="1:10" ht="12.75">
      <c r="A130" s="34" t="s">
        <v>24</v>
      </c>
      <c r="B130" s="35">
        <f>+B126-B127-B128-B129</f>
        <v>0</v>
      </c>
      <c r="C130" s="35" t="e">
        <f>+C126-C127-C128-C129</f>
        <v>#REF!</v>
      </c>
      <c r="D130" s="36"/>
      <c r="E130" s="37"/>
      <c r="F130" s="34" t="s">
        <v>24</v>
      </c>
      <c r="G130" s="35">
        <f>+G126-G127-G128-G129</f>
        <v>0</v>
      </c>
      <c r="H130" s="35" t="e">
        <f>+H126-H127-H128-H129</f>
        <v>#REF!</v>
      </c>
      <c r="I130" s="36"/>
      <c r="J130" s="37"/>
    </row>
    <row r="131" spans="1:10" ht="12.75">
      <c r="A131" s="43" t="s">
        <v>25</v>
      </c>
      <c r="B131" s="40">
        <f>+B130*0.3</f>
        <v>0</v>
      </c>
      <c r="C131" s="40" t="e">
        <f>+C130*0.25</f>
        <v>#REF!</v>
      </c>
      <c r="D131" s="40"/>
      <c r="E131" s="37"/>
      <c r="F131" s="43" t="s">
        <v>25</v>
      </c>
      <c r="G131" s="40">
        <f>+G130*0.3</f>
        <v>0</v>
      </c>
      <c r="H131" s="40" t="e">
        <f>+H130*0.25</f>
        <v>#REF!</v>
      </c>
      <c r="I131" s="40"/>
      <c r="J131" s="37"/>
    </row>
    <row r="132" spans="1:10" ht="12.75">
      <c r="A132" s="43"/>
      <c r="B132" s="40">
        <f>+B130-B131</f>
        <v>0</v>
      </c>
      <c r="C132" s="40" t="e">
        <f>+C130-C131</f>
        <v>#REF!</v>
      </c>
      <c r="D132" s="40" t="e">
        <f>SUM(B132:C132)</f>
        <v>#REF!</v>
      </c>
      <c r="E132" s="37"/>
      <c r="F132" s="43"/>
      <c r="G132" s="40">
        <f>+G130-G131</f>
        <v>0</v>
      </c>
      <c r="H132" s="40" t="e">
        <f>+H130-H131</f>
        <v>#REF!</v>
      </c>
      <c r="I132" s="40" t="e">
        <f>SUM(G132:H132)</f>
        <v>#REF!</v>
      </c>
      <c r="J132" s="103">
        <v>0.15</v>
      </c>
    </row>
    <row r="133" spans="1:11" ht="12.75">
      <c r="A133" s="34" t="s">
        <v>26</v>
      </c>
      <c r="B133" s="35"/>
      <c r="C133" s="35"/>
      <c r="D133" s="35" t="e">
        <f>+D132/1</f>
        <v>#REF!</v>
      </c>
      <c r="E133" s="37" t="e">
        <f>+D133*0.15</f>
        <v>#REF!</v>
      </c>
      <c r="F133" s="34" t="s">
        <v>26</v>
      </c>
      <c r="G133" s="35"/>
      <c r="H133" s="35"/>
      <c r="I133" s="35" t="e">
        <f>+I132/1</f>
        <v>#REF!</v>
      </c>
      <c r="J133" s="40" t="e">
        <f>+I133*0.15</f>
        <v>#REF!</v>
      </c>
      <c r="K133" s="1">
        <v>0</v>
      </c>
    </row>
    <row r="134" spans="1:10" ht="12.75">
      <c r="A134" s="38" t="s">
        <v>27</v>
      </c>
      <c r="B134" s="40"/>
      <c r="C134" s="40">
        <v>598107</v>
      </c>
      <c r="D134" s="40">
        <v>0</v>
      </c>
      <c r="E134" s="98" t="s">
        <v>70</v>
      </c>
      <c r="F134" s="38" t="s">
        <v>27</v>
      </c>
      <c r="G134" s="40"/>
      <c r="H134" s="40">
        <f>+K156/12</f>
        <v>1455332.1666666667</v>
      </c>
      <c r="I134" s="40">
        <f>6488204/12</f>
        <v>540683.6666666666</v>
      </c>
      <c r="J134" s="71"/>
    </row>
    <row r="135" spans="1:10" ht="12.75">
      <c r="A135" s="38" t="s">
        <v>68</v>
      </c>
      <c r="B135" s="40"/>
      <c r="C135" s="40"/>
      <c r="D135" s="40" t="e">
        <f>+#REF!</f>
        <v>#REF!</v>
      </c>
      <c r="E135" s="98"/>
      <c r="F135" s="38" t="s">
        <v>68</v>
      </c>
      <c r="G135" s="40"/>
      <c r="H135" s="40"/>
      <c r="I135" s="40" t="e">
        <f>+#REF!</f>
        <v>#REF!</v>
      </c>
      <c r="J135" s="98"/>
    </row>
    <row r="136" spans="1:10" ht="12.75">
      <c r="A136" s="34" t="s">
        <v>28</v>
      </c>
      <c r="B136" s="35"/>
      <c r="C136" s="35"/>
      <c r="D136" s="35" t="e">
        <f>+D133-D134-D135</f>
        <v>#REF!</v>
      </c>
      <c r="E136" s="37"/>
      <c r="F136" s="34" t="s">
        <v>28</v>
      </c>
      <c r="G136" s="35"/>
      <c r="H136" s="35"/>
      <c r="I136" s="35" t="e">
        <f>+I133-I134-I135</f>
        <v>#REF!</v>
      </c>
      <c r="J136" s="37"/>
    </row>
    <row r="137" spans="1:10" ht="12.75">
      <c r="A137" s="34" t="s">
        <v>29</v>
      </c>
      <c r="B137" s="44"/>
      <c r="C137" s="44"/>
      <c r="D137" s="44"/>
      <c r="E137" s="37"/>
      <c r="F137" s="34" t="s">
        <v>29</v>
      </c>
      <c r="G137" s="44"/>
      <c r="H137" s="44"/>
      <c r="I137" s="44"/>
      <c r="J137" s="37"/>
    </row>
    <row r="138" spans="1:10" ht="13.5" thickBot="1">
      <c r="A138" s="46"/>
      <c r="B138" s="47"/>
      <c r="C138" s="47"/>
      <c r="D138" s="47"/>
      <c r="E138" s="48"/>
      <c r="F138" s="84"/>
      <c r="G138" s="85"/>
      <c r="H138" s="85"/>
      <c r="I138" s="85"/>
      <c r="J138" s="86"/>
    </row>
    <row r="139" spans="1:10" ht="12.75">
      <c r="A139" s="50" t="s">
        <v>28</v>
      </c>
      <c r="B139" s="35">
        <f>D137</f>
        <v>0</v>
      </c>
      <c r="C139" s="36"/>
      <c r="D139" s="51" t="s">
        <v>30</v>
      </c>
      <c r="E139" s="81">
        <v>24555</v>
      </c>
      <c r="F139" s="87" t="s">
        <v>28</v>
      </c>
      <c r="G139" s="88">
        <f>I137</f>
        <v>0</v>
      </c>
      <c r="H139" s="89"/>
      <c r="I139" s="90" t="s">
        <v>30</v>
      </c>
      <c r="J139" s="91">
        <v>24555</v>
      </c>
    </row>
    <row r="140" spans="1:14" ht="13.5" thickBot="1">
      <c r="A140" s="50" t="s">
        <v>92</v>
      </c>
      <c r="B140" s="53" t="e">
        <f>(101-E141)*19%</f>
        <v>#REF!</v>
      </c>
      <c r="C140" s="53" t="e">
        <f>+B140</f>
        <v>#REF!</v>
      </c>
      <c r="D140" s="53"/>
      <c r="E140" s="82" t="e">
        <f>+D136</f>
        <v>#REF!</v>
      </c>
      <c r="F140" s="92" t="s">
        <v>100</v>
      </c>
      <c r="G140" s="53" t="e">
        <f>(+J141-95)*19%</f>
        <v>#REF!</v>
      </c>
      <c r="H140" s="53"/>
      <c r="I140" s="53"/>
      <c r="J140" s="93" t="e">
        <f>+I136</f>
        <v>#REF!</v>
      </c>
      <c r="L140" s="8" t="e">
        <f>+#REF!+I119</f>
        <v>#REF!</v>
      </c>
      <c r="N140" s="8"/>
    </row>
    <row r="141" spans="1:10" ht="15.75" thickBot="1">
      <c r="A141" s="55" t="s">
        <v>91</v>
      </c>
      <c r="B141" s="56"/>
      <c r="C141" s="67" t="e">
        <f>IF(B140&gt;0,ROUND(E139*B140,-3),0)</f>
        <v>#REF!</v>
      </c>
      <c r="D141" s="57" t="e">
        <f>+C141</f>
        <v>#REF!</v>
      </c>
      <c r="E141" s="83" t="e">
        <f>ROUND(E140/E139,0)</f>
        <v>#REF!</v>
      </c>
      <c r="F141" s="55" t="s">
        <v>48</v>
      </c>
      <c r="G141" s="56"/>
      <c r="H141" s="67" t="e">
        <f>IF(G140&gt;0,ROUND(J139*G140,-3),0)</f>
        <v>#REF!</v>
      </c>
      <c r="I141" s="75" t="e">
        <f>+H141</f>
        <v>#REF!</v>
      </c>
      <c r="J141" s="94" t="e">
        <f>ROUND(J140/J139,0)</f>
        <v>#REF!</v>
      </c>
    </row>
    <row r="142" spans="1:10" ht="13.5" thickBot="1">
      <c r="A142" s="59"/>
      <c r="B142" s="140" t="s">
        <v>82</v>
      </c>
      <c r="C142" s="68" t="e">
        <f>ROUND(+D136*0.1003,-3)</f>
        <v>#REF!</v>
      </c>
      <c r="D142" s="60"/>
      <c r="E142" s="60"/>
      <c r="F142" s="59"/>
      <c r="G142" s="140" t="s">
        <v>82</v>
      </c>
      <c r="H142" s="68" t="e">
        <f>ROUND(+I136*0.0135,-3)</f>
        <v>#REF!</v>
      </c>
      <c r="I142" s="95"/>
      <c r="J142" s="96"/>
    </row>
    <row r="143" spans="3:8" ht="13.5" thickBot="1">
      <c r="C143" s="8"/>
      <c r="H143" s="8"/>
    </row>
    <row r="144" spans="1:10" ht="12.75">
      <c r="A144" s="70" t="e">
        <f>+#REF!</f>
        <v>#REF!</v>
      </c>
      <c r="B144" s="30"/>
      <c r="C144" s="31"/>
      <c r="D144" s="31"/>
      <c r="E144" s="32"/>
      <c r="F144" s="70" t="e">
        <f>+#REF!</f>
        <v>#REF!</v>
      </c>
      <c r="G144" s="30"/>
      <c r="H144" s="31"/>
      <c r="I144" s="31"/>
      <c r="J144" s="32"/>
    </row>
    <row r="145" spans="1:10" ht="12.75">
      <c r="A145" s="34" t="s">
        <v>19</v>
      </c>
      <c r="B145" s="35"/>
      <c r="C145" s="36"/>
      <c r="D145" s="36"/>
      <c r="E145" s="37"/>
      <c r="F145" s="34" t="s">
        <v>19</v>
      </c>
      <c r="G145" s="35"/>
      <c r="H145" s="36"/>
      <c r="I145" s="36"/>
      <c r="J145" s="37"/>
    </row>
    <row r="146" spans="1:10" ht="12.75">
      <c r="A146" s="38"/>
      <c r="B146" s="39"/>
      <c r="C146" s="39"/>
      <c r="D146" s="36"/>
      <c r="E146" s="37"/>
      <c r="F146" s="38"/>
      <c r="G146" s="39"/>
      <c r="H146" s="39"/>
      <c r="I146" s="36"/>
      <c r="J146" s="37"/>
    </row>
    <row r="147" spans="1:10" ht="12.75">
      <c r="A147" s="38" t="s">
        <v>50</v>
      </c>
      <c r="B147" s="40"/>
      <c r="C147" s="41" t="e">
        <f>+#REF!</f>
        <v>#REF!</v>
      </c>
      <c r="D147" s="36"/>
      <c r="E147" s="37"/>
      <c r="F147" s="38" t="s">
        <v>50</v>
      </c>
      <c r="G147" s="40"/>
      <c r="H147" s="41" t="e">
        <f>+#REF!</f>
        <v>#REF!</v>
      </c>
      <c r="I147" s="36"/>
      <c r="J147" s="37"/>
    </row>
    <row r="148" spans="1:10" ht="12.75">
      <c r="A148" s="38" t="s">
        <v>20</v>
      </c>
      <c r="B148" s="40"/>
      <c r="C148" s="41">
        <v>0</v>
      </c>
      <c r="D148" s="36"/>
      <c r="E148" s="37"/>
      <c r="F148" s="38" t="s">
        <v>20</v>
      </c>
      <c r="G148" s="40"/>
      <c r="H148" s="41">
        <v>0</v>
      </c>
      <c r="I148" s="36"/>
      <c r="J148" s="37"/>
    </row>
    <row r="149" spans="1:10" ht="12.75">
      <c r="A149" s="34" t="s">
        <v>6</v>
      </c>
      <c r="B149" s="35">
        <f>SUM(B147:B148)</f>
        <v>0</v>
      </c>
      <c r="C149" s="35" t="e">
        <f>SUM(C147:C148)</f>
        <v>#REF!</v>
      </c>
      <c r="D149" s="36"/>
      <c r="E149" s="37"/>
      <c r="F149" s="34" t="s">
        <v>6</v>
      </c>
      <c r="G149" s="35">
        <f>SUM(G147:G148)</f>
        <v>0</v>
      </c>
      <c r="H149" s="35" t="e">
        <f>#REF!</f>
        <v>#REF!</v>
      </c>
      <c r="I149" s="56"/>
      <c r="J149" s="37"/>
    </row>
    <row r="150" spans="1:10" ht="12.75">
      <c r="A150" s="38" t="s">
        <v>21</v>
      </c>
      <c r="B150" s="40"/>
      <c r="C150" s="41" t="e">
        <f>+#REF!</f>
        <v>#REF!</v>
      </c>
      <c r="D150" s="36"/>
      <c r="E150" s="37"/>
      <c r="F150" s="38" t="s">
        <v>21</v>
      </c>
      <c r="G150" s="40"/>
      <c r="H150" s="41">
        <v>467000</v>
      </c>
      <c r="I150" s="36"/>
      <c r="J150" s="37"/>
    </row>
    <row r="151" spans="1:10" ht="12.75">
      <c r="A151" s="38" t="s">
        <v>22</v>
      </c>
      <c r="B151" s="40"/>
      <c r="C151" s="41" t="e">
        <f>+#REF!</f>
        <v>#REF!</v>
      </c>
      <c r="D151" s="36"/>
      <c r="E151" s="37"/>
      <c r="F151" s="38" t="s">
        <v>22</v>
      </c>
      <c r="G151" s="40"/>
      <c r="H151" s="41">
        <v>233500</v>
      </c>
      <c r="I151" s="36"/>
      <c r="J151" s="37"/>
    </row>
    <row r="152" spans="1:10" ht="12.75">
      <c r="A152" s="38" t="s">
        <v>23</v>
      </c>
      <c r="B152" s="40"/>
      <c r="C152" s="41">
        <v>0</v>
      </c>
      <c r="D152" s="36"/>
      <c r="E152" s="37"/>
      <c r="F152" s="38" t="s">
        <v>23</v>
      </c>
      <c r="G152" s="40"/>
      <c r="H152" s="41"/>
      <c r="I152" s="36"/>
      <c r="J152" s="37"/>
    </row>
    <row r="153" spans="1:10" ht="12.75">
      <c r="A153" s="34" t="s">
        <v>24</v>
      </c>
      <c r="B153" s="35">
        <f>+B149-B150-B151-B152</f>
        <v>0</v>
      </c>
      <c r="C153" s="35" t="e">
        <f>+C149-C150-C151-C152</f>
        <v>#REF!</v>
      </c>
      <c r="D153" s="36"/>
      <c r="E153" s="37"/>
      <c r="F153" s="34" t="s">
        <v>24</v>
      </c>
      <c r="G153" s="35">
        <f>+G149-G150-G151-G152</f>
        <v>0</v>
      </c>
      <c r="H153" s="35" t="e">
        <f>+H149-H150-H151-H152</f>
        <v>#REF!</v>
      </c>
      <c r="I153" s="36"/>
      <c r="J153" s="37"/>
    </row>
    <row r="154" spans="1:10" ht="12.75">
      <c r="A154" s="43" t="s">
        <v>25</v>
      </c>
      <c r="B154" s="40">
        <f>+B153*0.3</f>
        <v>0</v>
      </c>
      <c r="C154" s="40" t="e">
        <f>+C153*0.25</f>
        <v>#REF!</v>
      </c>
      <c r="D154" s="40"/>
      <c r="E154" s="37"/>
      <c r="F154" s="43" t="s">
        <v>25</v>
      </c>
      <c r="G154" s="40">
        <f>+G153*0.3</f>
        <v>0</v>
      </c>
      <c r="H154" s="40" t="e">
        <f>+H153*0.25</f>
        <v>#REF!</v>
      </c>
      <c r="I154" s="40"/>
      <c r="J154" s="37"/>
    </row>
    <row r="155" spans="1:11" ht="12.75">
      <c r="A155" s="43"/>
      <c r="B155" s="40">
        <f>+B153-B154</f>
        <v>0</v>
      </c>
      <c r="C155" s="40" t="e">
        <f>+C153-C154</f>
        <v>#REF!</v>
      </c>
      <c r="D155" s="40" t="e">
        <f>SUM(B155:C155)</f>
        <v>#REF!</v>
      </c>
      <c r="E155" s="37"/>
      <c r="F155" s="43"/>
      <c r="G155" s="40">
        <f>+G153-G154</f>
        <v>0</v>
      </c>
      <c r="H155" s="40" t="e">
        <f>+H153-H154</f>
        <v>#REF!</v>
      </c>
      <c r="I155" s="40" t="e">
        <f>SUM(G155:H155)</f>
        <v>#REF!</v>
      </c>
      <c r="J155" s="37"/>
      <c r="K155" s="1">
        <f>+J139*100</f>
        <v>2455500</v>
      </c>
    </row>
    <row r="156" spans="1:14" ht="12.75">
      <c r="A156" s="34" t="s">
        <v>26</v>
      </c>
      <c r="B156" s="35"/>
      <c r="C156" s="35"/>
      <c r="D156" s="35" t="e">
        <f>+D155/1</f>
        <v>#REF!</v>
      </c>
      <c r="E156" s="37"/>
      <c r="F156" s="34" t="s">
        <v>26</v>
      </c>
      <c r="G156" s="35"/>
      <c r="H156" s="35"/>
      <c r="I156" s="35" t="e">
        <f>+I155/1</f>
        <v>#REF!</v>
      </c>
      <c r="J156" s="37"/>
      <c r="K156" s="1">
        <f>11599666+5864320</f>
        <v>17463986</v>
      </c>
      <c r="N156" s="1" t="s">
        <v>71</v>
      </c>
    </row>
    <row r="157" spans="1:10" ht="12.75">
      <c r="A157" s="38" t="s">
        <v>27</v>
      </c>
      <c r="B157" s="40"/>
      <c r="C157" s="40"/>
      <c r="D157" s="40">
        <v>0</v>
      </c>
      <c r="E157" s="98" t="s">
        <v>70</v>
      </c>
      <c r="F157" s="38" t="s">
        <v>27</v>
      </c>
      <c r="G157" s="40"/>
      <c r="H157" s="162">
        <v>2802263</v>
      </c>
      <c r="I157" s="40">
        <f>+H157</f>
        <v>2802263</v>
      </c>
      <c r="J157" s="98" t="s">
        <v>70</v>
      </c>
    </row>
    <row r="158" spans="1:11" ht="12.75">
      <c r="A158" s="38" t="s">
        <v>68</v>
      </c>
      <c r="B158" s="40"/>
      <c r="C158" s="40"/>
      <c r="D158" s="40" t="e">
        <f>+#REF!</f>
        <v>#REF!</v>
      </c>
      <c r="E158" s="98"/>
      <c r="F158" s="38" t="s">
        <v>68</v>
      </c>
      <c r="G158" s="40"/>
      <c r="H158" s="40"/>
      <c r="I158" s="40">
        <v>467000</v>
      </c>
      <c r="J158" s="98"/>
      <c r="K158" s="1">
        <f>6751927/12</f>
        <v>562660.5833333334</v>
      </c>
    </row>
    <row r="159" spans="1:10" ht="12.75">
      <c r="A159" s="34" t="s">
        <v>28</v>
      </c>
      <c r="B159" s="35"/>
      <c r="C159" s="35"/>
      <c r="D159" s="35" t="e">
        <f>+D156-D157-D158</f>
        <v>#REF!</v>
      </c>
      <c r="E159" s="37"/>
      <c r="F159" s="34" t="s">
        <v>28</v>
      </c>
      <c r="G159" s="35"/>
      <c r="H159" s="35"/>
      <c r="I159" s="35" t="e">
        <f>+I156-I157-I158</f>
        <v>#REF!</v>
      </c>
      <c r="J159" s="37"/>
    </row>
    <row r="160" spans="1:12" ht="12.75">
      <c r="A160" s="34" t="s">
        <v>29</v>
      </c>
      <c r="B160" s="44"/>
      <c r="C160" s="44"/>
      <c r="D160" s="44"/>
      <c r="E160" s="37"/>
      <c r="F160" s="34" t="s">
        <v>29</v>
      </c>
      <c r="G160" s="44"/>
      <c r="H160" s="44"/>
      <c r="I160" s="44"/>
      <c r="J160" s="37"/>
      <c r="L160" s="1" t="e">
        <f>I156*30%</f>
        <v>#REF!</v>
      </c>
    </row>
    <row r="161" spans="1:10" ht="13.5" thickBot="1">
      <c r="A161" s="46"/>
      <c r="B161" s="47"/>
      <c r="C161" s="47"/>
      <c r="D161" s="47"/>
      <c r="E161" s="47"/>
      <c r="F161" s="147"/>
      <c r="G161" s="148"/>
      <c r="H161" s="148"/>
      <c r="I161" s="148"/>
      <c r="J161" s="149"/>
    </row>
    <row r="162" spans="1:12" ht="12.75">
      <c r="A162" s="50" t="s">
        <v>28</v>
      </c>
      <c r="B162" s="35">
        <f>D160</f>
        <v>0</v>
      </c>
      <c r="C162" s="36"/>
      <c r="D162" s="51" t="s">
        <v>30</v>
      </c>
      <c r="E162" s="81">
        <v>24555</v>
      </c>
      <c r="F162" s="150" t="s">
        <v>28</v>
      </c>
      <c r="G162" s="35">
        <f>I160</f>
        <v>0</v>
      </c>
      <c r="H162" s="36"/>
      <c r="I162" s="51" t="s">
        <v>30</v>
      </c>
      <c r="J162" s="151">
        <v>24555</v>
      </c>
      <c r="L162" s="8"/>
    </row>
    <row r="163" spans="1:12" ht="13.5" thickBot="1">
      <c r="A163" s="50" t="s">
        <v>78</v>
      </c>
      <c r="B163" s="53" t="e">
        <f>(+E164-95)*19%</f>
        <v>#REF!</v>
      </c>
      <c r="C163" s="53" t="e">
        <f>+B163</f>
        <v>#REF!</v>
      </c>
      <c r="D163" s="53"/>
      <c r="E163" s="82" t="e">
        <f>+D159</f>
        <v>#REF!</v>
      </c>
      <c r="F163" s="150" t="s">
        <v>99</v>
      </c>
      <c r="G163" s="53" t="e">
        <f>((+J164-150)*28%)+10</f>
        <v>#REF!</v>
      </c>
      <c r="H163" s="53" t="e">
        <f>+G163</f>
        <v>#REF!</v>
      </c>
      <c r="I163" s="53"/>
      <c r="J163" s="152" t="e">
        <f>+I159</f>
        <v>#REF!</v>
      </c>
      <c r="L163" s="8"/>
    </row>
    <row r="164" spans="1:12" ht="18.75" thickBot="1">
      <c r="A164" s="55" t="s">
        <v>49</v>
      </c>
      <c r="B164" s="56">
        <v>24555</v>
      </c>
      <c r="C164" s="67" t="e">
        <f>IF(C163&gt;0,ROUND(B164*C163,-2),0)</f>
        <v>#REF!</v>
      </c>
      <c r="D164" s="57" t="e">
        <f>+C164</f>
        <v>#REF!</v>
      </c>
      <c r="E164" s="83" t="e">
        <f>ROUND(E163/E162,0)</f>
        <v>#REF!</v>
      </c>
      <c r="F164" s="153" t="s">
        <v>89</v>
      </c>
      <c r="G164" s="56">
        <v>24555</v>
      </c>
      <c r="H164" s="67" t="e">
        <f>IF(H163&gt;0,ROUND(G164*H163,-2),0)</f>
        <v>#REF!</v>
      </c>
      <c r="I164" s="57" t="e">
        <f>+H164</f>
        <v>#REF!</v>
      </c>
      <c r="J164" s="163" t="e">
        <f>ROUND(J163/J162,0)</f>
        <v>#REF!</v>
      </c>
      <c r="K164" s="2"/>
      <c r="L164" s="8" t="e">
        <f>+I164-898000</f>
        <v>#REF!</v>
      </c>
    </row>
    <row r="165" spans="2:10" ht="13.5" thickBot="1">
      <c r="B165" s="140" t="s">
        <v>82</v>
      </c>
      <c r="C165" s="68">
        <v>0</v>
      </c>
      <c r="F165" s="155"/>
      <c r="G165" s="145" t="s">
        <v>88</v>
      </c>
      <c r="H165" s="146">
        <v>0</v>
      </c>
      <c r="I165" s="144"/>
      <c r="J165" s="156"/>
    </row>
    <row r="166" ht="13.5" thickBot="1">
      <c r="C166" s="8"/>
    </row>
    <row r="167" spans="1:10" ht="12.75">
      <c r="A167" s="70" t="e">
        <f>+#REF!</f>
        <v>#REF!</v>
      </c>
      <c r="B167" s="30"/>
      <c r="C167" s="31"/>
      <c r="D167" s="31"/>
      <c r="E167" s="32"/>
      <c r="F167" s="70" t="e">
        <f>+#REF!</f>
        <v>#REF!</v>
      </c>
      <c r="G167" s="30"/>
      <c r="H167" s="31"/>
      <c r="I167" s="31"/>
      <c r="J167" s="32"/>
    </row>
    <row r="168" spans="1:10" ht="12.75">
      <c r="A168" s="34" t="s">
        <v>19</v>
      </c>
      <c r="B168" s="35"/>
      <c r="C168" s="36"/>
      <c r="D168" s="36"/>
      <c r="E168" s="37"/>
      <c r="F168" s="34" t="s">
        <v>19</v>
      </c>
      <c r="G168" s="35"/>
      <c r="H168" s="36"/>
      <c r="I168" s="36"/>
      <c r="J168" s="37"/>
    </row>
    <row r="169" spans="1:10" ht="12.75">
      <c r="A169" s="38"/>
      <c r="B169" s="39"/>
      <c r="C169" s="39"/>
      <c r="D169" s="36"/>
      <c r="E169" s="37"/>
      <c r="F169" s="38"/>
      <c r="G169" s="39"/>
      <c r="H169" s="39"/>
      <c r="I169" s="36"/>
      <c r="J169" s="37"/>
    </row>
    <row r="170" spans="1:10" ht="12.75">
      <c r="A170" s="38" t="s">
        <v>50</v>
      </c>
      <c r="B170" s="40"/>
      <c r="C170" s="41" t="e">
        <f>+#REF!</f>
        <v>#REF!</v>
      </c>
      <c r="D170" s="36"/>
      <c r="E170" s="37"/>
      <c r="F170" s="38" t="s">
        <v>50</v>
      </c>
      <c r="G170" s="40"/>
      <c r="H170" s="41" t="e">
        <f>+#REF!</f>
        <v>#REF!</v>
      </c>
      <c r="I170" s="36"/>
      <c r="J170" s="37"/>
    </row>
    <row r="171" spans="1:10" ht="12.75">
      <c r="A171" s="38" t="s">
        <v>20</v>
      </c>
      <c r="B171" s="40"/>
      <c r="C171" s="41">
        <v>0</v>
      </c>
      <c r="D171" s="36"/>
      <c r="E171" s="37"/>
      <c r="F171" s="38" t="s">
        <v>20</v>
      </c>
      <c r="G171" s="40"/>
      <c r="H171" s="41">
        <v>0</v>
      </c>
      <c r="I171" s="36"/>
      <c r="J171" s="37"/>
    </row>
    <row r="172" spans="1:10" ht="12.75">
      <c r="A172" s="34" t="s">
        <v>6</v>
      </c>
      <c r="B172" s="35">
        <f>SUM(B170:B171)</f>
        <v>0</v>
      </c>
      <c r="C172" s="35" t="e">
        <f>SUM(C170:C171)</f>
        <v>#REF!</v>
      </c>
      <c r="D172" s="36"/>
      <c r="E172" s="37"/>
      <c r="F172" s="34" t="s">
        <v>6</v>
      </c>
      <c r="G172" s="35">
        <f>SUM(G170:G171)</f>
        <v>0</v>
      </c>
      <c r="H172" s="35" t="e">
        <f>SUM(H170:H171)</f>
        <v>#REF!</v>
      </c>
      <c r="I172" s="36"/>
      <c r="J172" s="37"/>
    </row>
    <row r="173" spans="1:10" ht="12.75">
      <c r="A173" s="38" t="s">
        <v>21</v>
      </c>
      <c r="B173" s="40"/>
      <c r="C173" s="41" t="e">
        <f>+#REF!</f>
        <v>#REF!</v>
      </c>
      <c r="D173" s="36"/>
      <c r="E173" s="37"/>
      <c r="F173" s="38" t="s">
        <v>21</v>
      </c>
      <c r="G173" s="40"/>
      <c r="H173" s="41" t="e">
        <f>+#REF!</f>
        <v>#REF!</v>
      </c>
      <c r="I173" s="36"/>
      <c r="J173" s="37"/>
    </row>
    <row r="174" spans="1:10" ht="12.75">
      <c r="A174" s="38" t="s">
        <v>22</v>
      </c>
      <c r="B174" s="40"/>
      <c r="C174" s="41" t="e">
        <f>+#REF!</f>
        <v>#REF!</v>
      </c>
      <c r="D174" s="36"/>
      <c r="E174" s="37"/>
      <c r="F174" s="38" t="s">
        <v>22</v>
      </c>
      <c r="G174" s="40"/>
      <c r="H174" s="41" t="e">
        <f>+#REF!</f>
        <v>#REF!</v>
      </c>
      <c r="I174" s="36"/>
      <c r="J174" s="37"/>
    </row>
    <row r="175" spans="1:10" ht="12.75">
      <c r="A175" s="38" t="s">
        <v>23</v>
      </c>
      <c r="B175" s="40"/>
      <c r="C175" s="41">
        <v>0</v>
      </c>
      <c r="D175" s="36"/>
      <c r="E175" s="37"/>
      <c r="F175" s="38" t="s">
        <v>23</v>
      </c>
      <c r="G175" s="40"/>
      <c r="H175" s="41">
        <v>0</v>
      </c>
      <c r="I175" s="36"/>
      <c r="J175" s="37"/>
    </row>
    <row r="176" spans="1:10" ht="12.75">
      <c r="A176" s="34" t="s">
        <v>24</v>
      </c>
      <c r="B176" s="35">
        <f>+B172-B173-B174-B175</f>
        <v>0</v>
      </c>
      <c r="C176" s="35" t="e">
        <f>+C172-C173-C174-C175</f>
        <v>#REF!</v>
      </c>
      <c r="D176" s="36"/>
      <c r="E176" s="37"/>
      <c r="F176" s="34" t="s">
        <v>24</v>
      </c>
      <c r="G176" s="35">
        <f>+G172-G173-G174-G175</f>
        <v>0</v>
      </c>
      <c r="H176" s="35" t="e">
        <f>+H172-H173-H174-H175</f>
        <v>#REF!</v>
      </c>
      <c r="I176" s="36"/>
      <c r="J176" s="37"/>
    </row>
    <row r="177" spans="1:10" ht="12.75">
      <c r="A177" s="43" t="s">
        <v>25</v>
      </c>
      <c r="B177" s="40">
        <f>+B176*0.3</f>
        <v>0</v>
      </c>
      <c r="C177" s="40" t="e">
        <f>+C176*0.25</f>
        <v>#REF!</v>
      </c>
      <c r="D177" s="40"/>
      <c r="E177" s="37"/>
      <c r="F177" s="43" t="s">
        <v>25</v>
      </c>
      <c r="G177" s="40">
        <f>+G176*0.3</f>
        <v>0</v>
      </c>
      <c r="H177" s="40" t="e">
        <f>+H176*0.25</f>
        <v>#REF!</v>
      </c>
      <c r="I177" s="40"/>
      <c r="J177" s="37"/>
    </row>
    <row r="178" spans="1:10" ht="12.75">
      <c r="A178" s="43"/>
      <c r="B178" s="40">
        <f>+B176-B177</f>
        <v>0</v>
      </c>
      <c r="C178" s="40" t="e">
        <f>+C176-C177</f>
        <v>#REF!</v>
      </c>
      <c r="D178" s="40" t="e">
        <f>SUM(B178:C178)</f>
        <v>#REF!</v>
      </c>
      <c r="E178" s="37"/>
      <c r="F178" s="43"/>
      <c r="G178" s="40">
        <f>+G176-G177</f>
        <v>0</v>
      </c>
      <c r="H178" s="40" t="e">
        <f>+H176-H177</f>
        <v>#REF!</v>
      </c>
      <c r="I178" s="40" t="e">
        <f>SUM(G178:H178)</f>
        <v>#REF!</v>
      </c>
      <c r="J178" s="37"/>
    </row>
    <row r="179" spans="1:11" ht="12.75">
      <c r="A179" s="34" t="s">
        <v>26</v>
      </c>
      <c r="B179" s="35"/>
      <c r="C179" s="35"/>
      <c r="D179" s="35" t="e">
        <f>+D178/1</f>
        <v>#REF!</v>
      </c>
      <c r="E179" s="37"/>
      <c r="F179" s="34" t="s">
        <v>26</v>
      </c>
      <c r="G179" s="35"/>
      <c r="H179" s="35"/>
      <c r="I179" s="35" t="e">
        <f>+I178/1</f>
        <v>#REF!</v>
      </c>
      <c r="J179" s="37"/>
      <c r="K179" s="1">
        <v>7746808</v>
      </c>
    </row>
    <row r="180" spans="1:10" ht="12.75">
      <c r="A180" s="38" t="s">
        <v>27</v>
      </c>
      <c r="B180" s="40"/>
      <c r="C180" s="40"/>
      <c r="D180" s="40">
        <v>0</v>
      </c>
      <c r="E180" s="98" t="s">
        <v>70</v>
      </c>
      <c r="F180" s="38" t="s">
        <v>27</v>
      </c>
      <c r="G180" s="40"/>
      <c r="H180" s="40"/>
      <c r="I180" s="40">
        <f>1738679/12</f>
        <v>144889.91666666666</v>
      </c>
      <c r="J180" s="98" t="s">
        <v>70</v>
      </c>
    </row>
    <row r="181" spans="1:10" ht="12.75">
      <c r="A181" s="38" t="s">
        <v>68</v>
      </c>
      <c r="B181" s="40"/>
      <c r="C181" s="40"/>
      <c r="D181" s="40" t="e">
        <f>+#REF!</f>
        <v>#REF!</v>
      </c>
      <c r="E181" s="98"/>
      <c r="F181" s="38" t="s">
        <v>68</v>
      </c>
      <c r="G181" s="40"/>
      <c r="H181" s="40"/>
      <c r="I181" s="40" t="e">
        <f>+#REF!</f>
        <v>#REF!</v>
      </c>
      <c r="J181" s="98"/>
    </row>
    <row r="182" spans="1:10" ht="12.75">
      <c r="A182" s="34" t="s">
        <v>28</v>
      </c>
      <c r="B182" s="35"/>
      <c r="C182" s="35"/>
      <c r="D182" s="35" t="e">
        <f>+D179-D180-D181</f>
        <v>#REF!</v>
      </c>
      <c r="E182" s="37"/>
      <c r="F182" s="34" t="s">
        <v>28</v>
      </c>
      <c r="G182" s="35"/>
      <c r="H182" s="35"/>
      <c r="I182" s="35" t="e">
        <f>+I179-I180-I181</f>
        <v>#REF!</v>
      </c>
      <c r="J182" s="37"/>
    </row>
    <row r="183" spans="1:10" ht="12.75">
      <c r="A183" s="34" t="s">
        <v>29</v>
      </c>
      <c r="B183" s="44"/>
      <c r="C183" s="44"/>
      <c r="D183" s="44"/>
      <c r="E183" s="37"/>
      <c r="F183" s="34" t="s">
        <v>29</v>
      </c>
      <c r="G183" s="44"/>
      <c r="H183" s="44"/>
      <c r="I183" s="44"/>
      <c r="J183" s="37"/>
    </row>
    <row r="184" spans="1:10" ht="12.75">
      <c r="A184" s="84"/>
      <c r="B184" s="85"/>
      <c r="C184" s="85"/>
      <c r="D184" s="85"/>
      <c r="E184" s="86"/>
      <c r="F184" s="84"/>
      <c r="G184" s="85"/>
      <c r="H184" s="85"/>
      <c r="I184" s="85"/>
      <c r="J184" s="86"/>
    </row>
    <row r="185" spans="1:10" ht="12.75">
      <c r="A185" s="157" t="s">
        <v>28</v>
      </c>
      <c r="B185" s="158">
        <f>D183</f>
        <v>0</v>
      </c>
      <c r="C185" s="159"/>
      <c r="D185" s="160" t="s">
        <v>30</v>
      </c>
      <c r="E185" s="161">
        <v>24555</v>
      </c>
      <c r="F185" s="157" t="s">
        <v>28</v>
      </c>
      <c r="G185" s="158">
        <f>I183</f>
        <v>0</v>
      </c>
      <c r="H185" s="159"/>
      <c r="I185" s="160" t="s">
        <v>30</v>
      </c>
      <c r="J185" s="161">
        <v>24555</v>
      </c>
    </row>
    <row r="186" spans="1:12" ht="13.5" thickBot="1">
      <c r="A186" s="150" t="s">
        <v>78</v>
      </c>
      <c r="B186" s="53" t="e">
        <f>(+E187-95)*19%</f>
        <v>#REF!</v>
      </c>
      <c r="C186" s="53" t="e">
        <f>+B186</f>
        <v>#REF!</v>
      </c>
      <c r="D186" s="53"/>
      <c r="E186" s="152" t="e">
        <f>+D182</f>
        <v>#REF!</v>
      </c>
      <c r="F186" s="150" t="s">
        <v>95</v>
      </c>
      <c r="G186" s="53" t="e">
        <f>(+J187-95)*19%</f>
        <v>#REF!</v>
      </c>
      <c r="H186" s="53" t="e">
        <f>+G186</f>
        <v>#REF!</v>
      </c>
      <c r="I186" s="53"/>
      <c r="J186" s="152" t="e">
        <f>+I182</f>
        <v>#REF!</v>
      </c>
      <c r="L186" s="8"/>
    </row>
    <row r="187" spans="1:12" ht="15.75" thickBot="1">
      <c r="A187" s="153" t="s">
        <v>49</v>
      </c>
      <c r="B187" s="56">
        <v>24555</v>
      </c>
      <c r="C187" s="67" t="e">
        <f>IF(C186&gt;0,ROUND(B187*C186,-2),0)</f>
        <v>#REF!</v>
      </c>
      <c r="D187" s="57" t="e">
        <f>+C187</f>
        <v>#REF!</v>
      </c>
      <c r="E187" s="154" t="e">
        <f>ROUND(E186/E185,0)</f>
        <v>#REF!</v>
      </c>
      <c r="F187" s="153" t="s">
        <v>49</v>
      </c>
      <c r="G187" s="56">
        <v>24555</v>
      </c>
      <c r="H187" s="67" t="e">
        <f>IF(H186&gt;0,ROUND(G187*H186,-2),0)</f>
        <v>#REF!</v>
      </c>
      <c r="I187" s="57" t="e">
        <f>+H187</f>
        <v>#REF!</v>
      </c>
      <c r="J187" s="154" t="e">
        <f>ROUND(J186/J185,0)</f>
        <v>#REF!</v>
      </c>
      <c r="K187" s="2"/>
      <c r="L187" s="8" t="e">
        <f>+C165+#REF!</f>
        <v>#REF!</v>
      </c>
    </row>
    <row r="188" spans="1:16" ht="13.5" thickBot="1">
      <c r="A188" s="155"/>
      <c r="B188" s="145" t="s">
        <v>82</v>
      </c>
      <c r="C188" s="146">
        <v>0</v>
      </c>
      <c r="D188" s="144"/>
      <c r="E188" s="156"/>
      <c r="F188" s="155"/>
      <c r="G188" s="145" t="s">
        <v>88</v>
      </c>
      <c r="H188" s="146">
        <v>0</v>
      </c>
      <c r="I188" s="144"/>
      <c r="J188" s="156"/>
      <c r="K188" s="2" t="s">
        <v>10</v>
      </c>
      <c r="L188" s="73" t="e">
        <f>SUM(L26:L187)</f>
        <v>#REF!</v>
      </c>
      <c r="N188" s="1">
        <v>2730000</v>
      </c>
      <c r="P188" s="78" t="e">
        <f>+L188-N188</f>
        <v>#REF!</v>
      </c>
    </row>
    <row r="189" spans="1:12" ht="12.75">
      <c r="A189" s="70" t="e">
        <f>+#REF!</f>
        <v>#REF!</v>
      </c>
      <c r="B189" s="30"/>
      <c r="C189" s="31"/>
      <c r="D189" s="31"/>
      <c r="E189" s="32"/>
      <c r="F189" s="70" t="e">
        <f>#REF!</f>
        <v>#REF!</v>
      </c>
      <c r="G189" s="30"/>
      <c r="H189" s="31"/>
      <c r="I189" s="31"/>
      <c r="J189" s="32"/>
      <c r="L189" s="8" t="e">
        <f>+L188-#REF!</f>
        <v>#REF!</v>
      </c>
    </row>
    <row r="190" spans="1:10" ht="12.75">
      <c r="A190" s="34" t="s">
        <v>19</v>
      </c>
      <c r="B190" s="35"/>
      <c r="C190" s="36"/>
      <c r="D190" s="36"/>
      <c r="E190" s="37"/>
      <c r="F190" s="34" t="s">
        <v>19</v>
      </c>
      <c r="G190" s="35"/>
      <c r="H190" s="36"/>
      <c r="I190" s="36"/>
      <c r="J190" s="37"/>
    </row>
    <row r="191" spans="1:10" ht="12.75">
      <c r="A191" s="38"/>
      <c r="B191" s="39"/>
      <c r="C191" s="39"/>
      <c r="D191" s="36"/>
      <c r="E191" s="37"/>
      <c r="F191" s="38"/>
      <c r="G191" s="39"/>
      <c r="H191" s="39"/>
      <c r="I191" s="36"/>
      <c r="J191" s="37"/>
    </row>
    <row r="192" spans="1:10" ht="12.75">
      <c r="A192" s="38" t="s">
        <v>50</v>
      </c>
      <c r="B192" s="40"/>
      <c r="C192" s="41" t="e">
        <f>+#REF!</f>
        <v>#REF!</v>
      </c>
      <c r="D192" s="36"/>
      <c r="E192" s="37"/>
      <c r="F192" s="38" t="s">
        <v>50</v>
      </c>
      <c r="G192" s="40"/>
      <c r="H192" s="41" t="e">
        <f>+#REF!</f>
        <v>#REF!</v>
      </c>
      <c r="I192" s="36"/>
      <c r="J192" s="37"/>
    </row>
    <row r="193" spans="1:10" ht="12.75">
      <c r="A193" s="38" t="s">
        <v>20</v>
      </c>
      <c r="B193" s="40"/>
      <c r="C193" s="41">
        <v>0</v>
      </c>
      <c r="D193" s="36"/>
      <c r="E193" s="37"/>
      <c r="F193" s="38" t="s">
        <v>20</v>
      </c>
      <c r="G193" s="40"/>
      <c r="H193" s="41">
        <v>0</v>
      </c>
      <c r="I193" s="36"/>
      <c r="J193" s="37"/>
    </row>
    <row r="194" spans="1:10" ht="12.75">
      <c r="A194" s="34" t="s">
        <v>6</v>
      </c>
      <c r="B194" s="35">
        <f>SUM(B192:B193)</f>
        <v>0</v>
      </c>
      <c r="C194" s="35" t="e">
        <f>SUM(C192:C193)</f>
        <v>#REF!</v>
      </c>
      <c r="D194" s="36"/>
      <c r="E194" s="37"/>
      <c r="F194" s="34" t="s">
        <v>6</v>
      </c>
      <c r="G194" s="35">
        <f>SUM(G192:G193)</f>
        <v>0</v>
      </c>
      <c r="H194" s="35" t="e">
        <f>SUM(H192:H193)</f>
        <v>#REF!</v>
      </c>
      <c r="I194" s="36"/>
      <c r="J194" s="37"/>
    </row>
    <row r="195" spans="1:10" ht="12.75">
      <c r="A195" s="38" t="s">
        <v>21</v>
      </c>
      <c r="B195" s="40"/>
      <c r="C195" s="41" t="e">
        <f>+#REF!</f>
        <v>#REF!</v>
      </c>
      <c r="D195" s="36"/>
      <c r="E195" s="37"/>
      <c r="F195" s="38" t="s">
        <v>21</v>
      </c>
      <c r="G195" s="40"/>
      <c r="H195" s="41" t="e">
        <f>+#REF!</f>
        <v>#REF!</v>
      </c>
      <c r="I195" s="36"/>
      <c r="J195" s="37"/>
    </row>
    <row r="196" spans="1:10" ht="12.75">
      <c r="A196" s="38" t="s">
        <v>22</v>
      </c>
      <c r="B196" s="40"/>
      <c r="C196" s="41" t="e">
        <f>+#REF!</f>
        <v>#REF!</v>
      </c>
      <c r="D196" s="36"/>
      <c r="E196" s="37"/>
      <c r="F196" s="38" t="s">
        <v>22</v>
      </c>
      <c r="G196" s="40"/>
      <c r="H196" s="41" t="e">
        <f>+#REF!</f>
        <v>#REF!</v>
      </c>
      <c r="I196" s="36"/>
      <c r="J196" s="37"/>
    </row>
    <row r="197" spans="1:10" ht="12.75">
      <c r="A197" s="38" t="s">
        <v>23</v>
      </c>
      <c r="B197" s="40"/>
      <c r="C197" s="41">
        <v>0</v>
      </c>
      <c r="D197" s="36"/>
      <c r="E197" s="37"/>
      <c r="F197" s="38" t="s">
        <v>23</v>
      </c>
      <c r="G197" s="40"/>
      <c r="H197" s="41">
        <v>0</v>
      </c>
      <c r="I197" s="36"/>
      <c r="J197" s="37"/>
    </row>
    <row r="198" spans="1:10" ht="12.75">
      <c r="A198" s="34" t="s">
        <v>24</v>
      </c>
      <c r="B198" s="35">
        <f>+B194-B195-B196-B197</f>
        <v>0</v>
      </c>
      <c r="C198" s="35" t="e">
        <f>+C194-C195-C196-C197</f>
        <v>#REF!</v>
      </c>
      <c r="D198" s="36"/>
      <c r="E198" s="37"/>
      <c r="F198" s="34" t="s">
        <v>24</v>
      </c>
      <c r="G198" s="35">
        <f>+G194-G195-G196-G197</f>
        <v>0</v>
      </c>
      <c r="H198" s="35" t="e">
        <f>+H194-H195-H196-H197</f>
        <v>#REF!</v>
      </c>
      <c r="I198" s="36"/>
      <c r="J198" s="37"/>
    </row>
    <row r="199" spans="1:10" ht="12.75">
      <c r="A199" s="43" t="s">
        <v>25</v>
      </c>
      <c r="B199" s="40">
        <f>+B198*0.3</f>
        <v>0</v>
      </c>
      <c r="C199" s="40" t="e">
        <f>+C198*0.25</f>
        <v>#REF!</v>
      </c>
      <c r="D199" s="40"/>
      <c r="E199" s="37"/>
      <c r="F199" s="43" t="s">
        <v>25</v>
      </c>
      <c r="G199" s="40">
        <f>+G198*0.3</f>
        <v>0</v>
      </c>
      <c r="H199" s="40" t="e">
        <f>+H198*0.25</f>
        <v>#REF!</v>
      </c>
      <c r="I199" s="40"/>
      <c r="J199" s="37"/>
    </row>
    <row r="200" spans="1:10" ht="12.75">
      <c r="A200" s="43"/>
      <c r="B200" s="40">
        <f>+B198-B199</f>
        <v>0</v>
      </c>
      <c r="C200" s="40" t="e">
        <f>+C198-C199</f>
        <v>#REF!</v>
      </c>
      <c r="D200" s="40" t="e">
        <f>SUM(B200:C200)</f>
        <v>#REF!</v>
      </c>
      <c r="E200" s="37"/>
      <c r="F200" s="43"/>
      <c r="G200" s="40">
        <f>+G198-G199</f>
        <v>0</v>
      </c>
      <c r="H200" s="40" t="e">
        <f>+H198-H199</f>
        <v>#REF!</v>
      </c>
      <c r="I200" s="40" t="e">
        <f>SUM(G200:H200)</f>
        <v>#REF!</v>
      </c>
      <c r="J200" s="37"/>
    </row>
    <row r="201" spans="1:10" ht="12.75">
      <c r="A201" s="34" t="s">
        <v>26</v>
      </c>
      <c r="B201" s="35"/>
      <c r="C201" s="35"/>
      <c r="D201" s="35" t="e">
        <f>+D200/1</f>
        <v>#REF!</v>
      </c>
      <c r="E201" s="37"/>
      <c r="F201" s="34" t="s">
        <v>26</v>
      </c>
      <c r="G201" s="35"/>
      <c r="H201" s="35"/>
      <c r="I201" s="35" t="e">
        <f>+I200/1</f>
        <v>#REF!</v>
      </c>
      <c r="J201" s="37"/>
    </row>
    <row r="202" spans="1:10" ht="12.75">
      <c r="A202" s="38" t="s">
        <v>27</v>
      </c>
      <c r="B202" s="40"/>
      <c r="C202" s="40"/>
      <c r="D202" s="40">
        <f>(5149400)/12</f>
        <v>429116.6666666667</v>
      </c>
      <c r="E202" s="98" t="s">
        <v>70</v>
      </c>
      <c r="F202" s="38" t="s">
        <v>27</v>
      </c>
      <c r="G202" s="40"/>
      <c r="H202" s="40"/>
      <c r="I202" s="40"/>
      <c r="J202" s="98" t="s">
        <v>70</v>
      </c>
    </row>
    <row r="203" spans="1:10" ht="12.75">
      <c r="A203" s="38" t="s">
        <v>68</v>
      </c>
      <c r="B203" s="40"/>
      <c r="C203" s="40"/>
      <c r="D203" s="40" t="e">
        <f>+#REF!</f>
        <v>#REF!</v>
      </c>
      <c r="E203" s="98"/>
      <c r="F203" s="38" t="s">
        <v>68</v>
      </c>
      <c r="G203" s="40"/>
      <c r="H203" s="40"/>
      <c r="I203" s="40" t="e">
        <f>#REF!</f>
        <v>#REF!</v>
      </c>
      <c r="J203" s="98"/>
    </row>
    <row r="204" spans="1:10" ht="12.75">
      <c r="A204" s="34" t="s">
        <v>28</v>
      </c>
      <c r="B204" s="35"/>
      <c r="C204" s="35"/>
      <c r="D204" s="35" t="e">
        <f>+D201-D202-D203</f>
        <v>#REF!</v>
      </c>
      <c r="E204" s="37"/>
      <c r="F204" s="34" t="s">
        <v>28</v>
      </c>
      <c r="G204" s="35"/>
      <c r="H204" s="35"/>
      <c r="I204" s="35" t="e">
        <f>+I201-I202-I203</f>
        <v>#REF!</v>
      </c>
      <c r="J204" s="37"/>
    </row>
    <row r="205" spans="1:10" ht="12.75">
      <c r="A205" s="34" t="s">
        <v>29</v>
      </c>
      <c r="B205" s="44"/>
      <c r="C205" s="44"/>
      <c r="D205" s="44"/>
      <c r="E205" s="37"/>
      <c r="F205" s="34" t="s">
        <v>29</v>
      </c>
      <c r="G205" s="44"/>
      <c r="H205" s="44"/>
      <c r="I205" s="44"/>
      <c r="J205" s="37"/>
    </row>
    <row r="206" spans="1:10" ht="12.75">
      <c r="A206" s="84"/>
      <c r="B206" s="85"/>
      <c r="C206" s="85"/>
      <c r="D206" s="85"/>
      <c r="E206" s="86"/>
      <c r="F206" s="84"/>
      <c r="G206" s="85"/>
      <c r="H206" s="85"/>
      <c r="I206" s="85"/>
      <c r="J206" s="86"/>
    </row>
    <row r="207" spans="1:10" ht="12.75">
      <c r="A207" s="157" t="s">
        <v>28</v>
      </c>
      <c r="B207" s="158">
        <f>D205</f>
        <v>0</v>
      </c>
      <c r="C207" s="159"/>
      <c r="D207" s="160" t="s">
        <v>30</v>
      </c>
      <c r="E207" s="161">
        <v>24555</v>
      </c>
      <c r="F207" s="157" t="s">
        <v>28</v>
      </c>
      <c r="G207" s="158">
        <f>I205</f>
        <v>0</v>
      </c>
      <c r="H207" s="159"/>
      <c r="I207" s="160" t="s">
        <v>30</v>
      </c>
      <c r="J207" s="161">
        <v>24555</v>
      </c>
    </row>
    <row r="208" spans="1:10" ht="13.5" thickBot="1">
      <c r="A208" s="150" t="s">
        <v>93</v>
      </c>
      <c r="B208" s="53" t="e">
        <f>(+E209-95)*19%</f>
        <v>#REF!</v>
      </c>
      <c r="C208" s="53" t="e">
        <f>+B208</f>
        <v>#REF!</v>
      </c>
      <c r="D208" s="53"/>
      <c r="E208" s="152" t="e">
        <f>+D204</f>
        <v>#REF!</v>
      </c>
      <c r="F208" s="150" t="s">
        <v>97</v>
      </c>
      <c r="G208" s="53" t="e">
        <f>(+J209-150)*28%+10</f>
        <v>#REF!</v>
      </c>
      <c r="H208" s="53" t="e">
        <f>+G208</f>
        <v>#REF!</v>
      </c>
      <c r="I208" s="53"/>
      <c r="J208" s="152" t="e">
        <f>+I204</f>
        <v>#REF!</v>
      </c>
    </row>
    <row r="209" spans="1:10" ht="15.75" thickBot="1">
      <c r="A209" s="153" t="s">
        <v>49</v>
      </c>
      <c r="B209" s="56">
        <v>24555</v>
      </c>
      <c r="C209" s="67" t="e">
        <f>IF(C208&gt;0,ROUND(B209*C208,-2),0)</f>
        <v>#REF!</v>
      </c>
      <c r="D209" s="57" t="e">
        <f>+C209</f>
        <v>#REF!</v>
      </c>
      <c r="E209" s="154" t="e">
        <f>ROUND(E208/E207,0)</f>
        <v>#REF!</v>
      </c>
      <c r="F209" s="153" t="s">
        <v>49</v>
      </c>
      <c r="G209" s="56">
        <v>24555</v>
      </c>
      <c r="H209" s="67" t="e">
        <f>IF(H208&gt;0,ROUND(G209*H208,-2),0)</f>
        <v>#REF!</v>
      </c>
      <c r="I209" s="57" t="e">
        <f>+H209</f>
        <v>#REF!</v>
      </c>
      <c r="J209" s="154" t="e">
        <f>ROUND(J208/J207,0)</f>
        <v>#REF!</v>
      </c>
    </row>
    <row r="210" spans="1:10" ht="12.75">
      <c r="A210" s="155"/>
      <c r="B210" s="145" t="s">
        <v>88</v>
      </c>
      <c r="C210" s="146">
        <v>0</v>
      </c>
      <c r="D210" s="144"/>
      <c r="E210" s="156"/>
      <c r="F210" s="155"/>
      <c r="G210" s="145" t="s">
        <v>88</v>
      </c>
      <c r="H210" s="146">
        <v>0</v>
      </c>
      <c r="I210" s="144"/>
      <c r="J210" s="156"/>
    </row>
    <row r="212" ht="13.5" thickBot="1"/>
    <row r="213" spans="1:10" ht="12.75">
      <c r="A213" s="70" t="e">
        <f>+#REF!</f>
        <v>#REF!</v>
      </c>
      <c r="B213" s="30"/>
      <c r="C213" s="31"/>
      <c r="D213" s="31"/>
      <c r="E213" s="32"/>
      <c r="F213" s="70" t="e">
        <f>+#REF!</f>
        <v>#REF!</v>
      </c>
      <c r="G213" s="30"/>
      <c r="H213" s="31"/>
      <c r="I213" s="31"/>
      <c r="J213" s="32"/>
    </row>
    <row r="214" spans="1:10" ht="12.75">
      <c r="A214" s="34" t="s">
        <v>19</v>
      </c>
      <c r="B214" s="35"/>
      <c r="C214" s="36"/>
      <c r="D214" s="36"/>
      <c r="E214" s="37"/>
      <c r="F214" s="34" t="s">
        <v>19</v>
      </c>
      <c r="G214" s="35"/>
      <c r="H214" s="36"/>
      <c r="I214" s="36"/>
      <c r="J214" s="37"/>
    </row>
    <row r="215" spans="1:10" ht="12.75">
      <c r="A215" s="38"/>
      <c r="B215" s="39"/>
      <c r="C215" s="39"/>
      <c r="D215" s="36"/>
      <c r="E215" s="37"/>
      <c r="F215" s="38"/>
      <c r="G215" s="39"/>
      <c r="H215" s="39"/>
      <c r="I215" s="36"/>
      <c r="J215" s="37"/>
    </row>
    <row r="216" spans="1:10" ht="12.75">
      <c r="A216" s="38" t="s">
        <v>50</v>
      </c>
      <c r="B216" s="40"/>
      <c r="C216" s="41" t="e">
        <f>+#REF!</f>
        <v>#REF!</v>
      </c>
      <c r="D216" s="36"/>
      <c r="E216" s="37"/>
      <c r="F216" s="38" t="s">
        <v>50</v>
      </c>
      <c r="G216" s="40"/>
      <c r="H216" s="41" t="e">
        <f>+#REF!</f>
        <v>#REF!</v>
      </c>
      <c r="I216" s="36"/>
      <c r="J216" s="37"/>
    </row>
    <row r="217" spans="1:10" ht="12.75">
      <c r="A217" s="38" t="s">
        <v>20</v>
      </c>
      <c r="B217" s="40"/>
      <c r="C217" s="41">
        <v>0</v>
      </c>
      <c r="D217" s="36"/>
      <c r="E217" s="37"/>
      <c r="F217" s="38" t="s">
        <v>20</v>
      </c>
      <c r="G217" s="40"/>
      <c r="H217" s="41">
        <v>0</v>
      </c>
      <c r="I217" s="36"/>
      <c r="J217" s="37"/>
    </row>
    <row r="218" spans="1:10" ht="12.75">
      <c r="A218" s="34" t="s">
        <v>6</v>
      </c>
      <c r="B218" s="35">
        <f>SUM(B216:B217)</f>
        <v>0</v>
      </c>
      <c r="C218" s="35" t="e">
        <f>SUM(C216:C217)</f>
        <v>#REF!</v>
      </c>
      <c r="D218" s="36"/>
      <c r="E218" s="37"/>
      <c r="F218" s="34" t="s">
        <v>6</v>
      </c>
      <c r="G218" s="35">
        <f>SUM(G216:G217)</f>
        <v>0</v>
      </c>
      <c r="H218" s="35" t="e">
        <f>SUM(H216:H217)</f>
        <v>#REF!</v>
      </c>
      <c r="I218" s="36"/>
      <c r="J218" s="37"/>
    </row>
    <row r="219" spans="1:10" ht="12.75">
      <c r="A219" s="38" t="s">
        <v>21</v>
      </c>
      <c r="B219" s="40"/>
      <c r="C219" s="41" t="e">
        <f>+#REF!</f>
        <v>#REF!</v>
      </c>
      <c r="D219" s="36"/>
      <c r="E219" s="37"/>
      <c r="F219" s="38" t="s">
        <v>21</v>
      </c>
      <c r="G219" s="40"/>
      <c r="H219" s="41" t="e">
        <f>+#REF!</f>
        <v>#REF!</v>
      </c>
      <c r="I219" s="36"/>
      <c r="J219" s="37"/>
    </row>
    <row r="220" spans="1:10" ht="12.75">
      <c r="A220" s="38" t="s">
        <v>22</v>
      </c>
      <c r="B220" s="40"/>
      <c r="C220" s="41" t="e">
        <f>+#REF!</f>
        <v>#REF!</v>
      </c>
      <c r="D220" s="36"/>
      <c r="E220" s="37"/>
      <c r="F220" s="38" t="s">
        <v>22</v>
      </c>
      <c r="G220" s="40"/>
      <c r="H220" s="41" t="e">
        <f>+#REF!</f>
        <v>#REF!</v>
      </c>
      <c r="I220" s="36"/>
      <c r="J220" s="37"/>
    </row>
    <row r="221" spans="1:10" ht="12.75">
      <c r="A221" s="38" t="s">
        <v>23</v>
      </c>
      <c r="B221" s="40"/>
      <c r="C221" s="41">
        <v>0</v>
      </c>
      <c r="D221" s="36"/>
      <c r="E221" s="37"/>
      <c r="F221" s="38" t="s">
        <v>23</v>
      </c>
      <c r="G221" s="40"/>
      <c r="H221" s="41">
        <v>0</v>
      </c>
      <c r="I221" s="36"/>
      <c r="J221" s="37"/>
    </row>
    <row r="222" spans="1:10" ht="12.75">
      <c r="A222" s="34" t="s">
        <v>24</v>
      </c>
      <c r="B222" s="35">
        <f>+B218-B219-B220-B221</f>
        <v>0</v>
      </c>
      <c r="C222" s="35" t="e">
        <f>+C218-C219-C220-C221</f>
        <v>#REF!</v>
      </c>
      <c r="D222" s="36"/>
      <c r="E222" s="37"/>
      <c r="F222" s="34" t="s">
        <v>24</v>
      </c>
      <c r="G222" s="35">
        <f>+G218-G219-G220-G221</f>
        <v>0</v>
      </c>
      <c r="H222" s="35" t="e">
        <f>+H218-H219-H220-H221</f>
        <v>#REF!</v>
      </c>
      <c r="I222" s="36"/>
      <c r="J222" s="37"/>
    </row>
    <row r="223" spans="1:10" ht="12.75">
      <c r="A223" s="43" t="s">
        <v>25</v>
      </c>
      <c r="B223" s="40">
        <f>+B222*0.3</f>
        <v>0</v>
      </c>
      <c r="C223" s="40" t="e">
        <f>+C222*0.25</f>
        <v>#REF!</v>
      </c>
      <c r="D223" s="40"/>
      <c r="E223" s="37"/>
      <c r="F223" s="43" t="s">
        <v>25</v>
      </c>
      <c r="G223" s="40">
        <f>+G222*0.3</f>
        <v>0</v>
      </c>
      <c r="H223" s="40" t="e">
        <f>+H222*0.25</f>
        <v>#REF!</v>
      </c>
      <c r="I223" s="40"/>
      <c r="J223" s="37"/>
    </row>
    <row r="224" spans="1:10" ht="12.75">
      <c r="A224" s="43"/>
      <c r="B224" s="40">
        <f>+B222-B223</f>
        <v>0</v>
      </c>
      <c r="C224" s="40" t="e">
        <f>+C222-C223</f>
        <v>#REF!</v>
      </c>
      <c r="D224" s="40" t="e">
        <f>SUM(B224:C224)</f>
        <v>#REF!</v>
      </c>
      <c r="E224" s="37"/>
      <c r="F224" s="43"/>
      <c r="G224" s="40">
        <f>+G222-G223</f>
        <v>0</v>
      </c>
      <c r="H224" s="40" t="e">
        <f>+H222-H223</f>
        <v>#REF!</v>
      </c>
      <c r="I224" s="40" t="e">
        <f>SUM(G224:H224)</f>
        <v>#REF!</v>
      </c>
      <c r="J224" s="37"/>
    </row>
    <row r="225" spans="1:10" ht="12.75">
      <c r="A225" s="34" t="s">
        <v>26</v>
      </c>
      <c r="B225" s="35"/>
      <c r="C225" s="35"/>
      <c r="D225" s="35" t="e">
        <f>+D224/1</f>
        <v>#REF!</v>
      </c>
      <c r="E225" s="37"/>
      <c r="F225" s="34" t="s">
        <v>26</v>
      </c>
      <c r="G225" s="35"/>
      <c r="H225" s="35"/>
      <c r="I225" s="35" t="e">
        <f>+I224/1</f>
        <v>#REF!</v>
      </c>
      <c r="J225" s="37"/>
    </row>
    <row r="226" spans="1:10" ht="12.75">
      <c r="A226" s="38" t="s">
        <v>27</v>
      </c>
      <c r="B226" s="40"/>
      <c r="C226" s="40"/>
      <c r="D226" s="40"/>
      <c r="E226" s="98" t="s">
        <v>70</v>
      </c>
      <c r="F226" s="38" t="s">
        <v>27</v>
      </c>
      <c r="G226" s="40"/>
      <c r="H226" s="40"/>
      <c r="I226" s="40">
        <f>3834000/12</f>
        <v>319500</v>
      </c>
      <c r="J226" s="98" t="s">
        <v>70</v>
      </c>
    </row>
    <row r="227" spans="1:10" ht="12.75">
      <c r="A227" s="38" t="s">
        <v>68</v>
      </c>
      <c r="B227" s="40"/>
      <c r="C227" s="40"/>
      <c r="D227" s="40" t="e">
        <f>+#REF!</f>
        <v>#REF!</v>
      </c>
      <c r="E227" s="98"/>
      <c r="F227" s="38" t="s">
        <v>68</v>
      </c>
      <c r="G227" s="40"/>
      <c r="H227" s="40"/>
      <c r="I227" s="40" t="e">
        <f>+#REF!</f>
        <v>#REF!</v>
      </c>
      <c r="J227" s="98"/>
    </row>
    <row r="228" spans="1:10" ht="12.75">
      <c r="A228" s="34" t="s">
        <v>28</v>
      </c>
      <c r="B228" s="35"/>
      <c r="C228" s="35"/>
      <c r="D228" s="35" t="e">
        <f>+D225-D226-D227</f>
        <v>#REF!</v>
      </c>
      <c r="E228" s="37"/>
      <c r="F228" s="34" t="s">
        <v>28</v>
      </c>
      <c r="G228" s="35"/>
      <c r="H228" s="35"/>
      <c r="I228" s="35" t="e">
        <f>+I225-I226-I227</f>
        <v>#REF!</v>
      </c>
      <c r="J228" s="37"/>
    </row>
    <row r="229" spans="1:10" ht="12.75">
      <c r="A229" s="34" t="s">
        <v>29</v>
      </c>
      <c r="B229" s="44"/>
      <c r="C229" s="44"/>
      <c r="D229" s="44"/>
      <c r="E229" s="37"/>
      <c r="F229" s="34" t="s">
        <v>29</v>
      </c>
      <c r="G229" s="44"/>
      <c r="H229" s="44"/>
      <c r="I229" s="44"/>
      <c r="J229" s="37"/>
    </row>
    <row r="230" spans="1:10" ht="12.75">
      <c r="A230" s="84"/>
      <c r="B230" s="85"/>
      <c r="C230" s="85"/>
      <c r="D230" s="85"/>
      <c r="E230" s="86"/>
      <c r="F230" s="84"/>
      <c r="G230" s="85"/>
      <c r="H230" s="85"/>
      <c r="I230" s="85"/>
      <c r="J230" s="86"/>
    </row>
    <row r="231" spans="1:10" ht="12.75">
      <c r="A231" s="157" t="s">
        <v>28</v>
      </c>
      <c r="B231" s="158">
        <f>D229</f>
        <v>0</v>
      </c>
      <c r="C231" s="159"/>
      <c r="D231" s="160" t="s">
        <v>30</v>
      </c>
      <c r="E231" s="161">
        <v>24555</v>
      </c>
      <c r="F231" s="157" t="s">
        <v>28</v>
      </c>
      <c r="G231" s="158">
        <f>I229</f>
        <v>0</v>
      </c>
      <c r="H231" s="159"/>
      <c r="I231" s="160" t="s">
        <v>30</v>
      </c>
      <c r="J231" s="161">
        <v>24555</v>
      </c>
    </row>
    <row r="232" spans="1:10" ht="13.5" thickBot="1">
      <c r="A232" s="150" t="s">
        <v>96</v>
      </c>
      <c r="B232" s="53" t="e">
        <f>(+E233-150)*28%+10</f>
        <v>#REF!</v>
      </c>
      <c r="C232" s="53" t="e">
        <f>+B232</f>
        <v>#REF!</v>
      </c>
      <c r="D232" s="53"/>
      <c r="E232" s="152" t="e">
        <f>+D228</f>
        <v>#REF!</v>
      </c>
      <c r="F232" s="150">
        <v>-80</v>
      </c>
      <c r="G232" s="53"/>
      <c r="H232" s="53">
        <f>+G232</f>
        <v>0</v>
      </c>
      <c r="I232" s="53"/>
      <c r="J232" s="152" t="e">
        <f>+I228</f>
        <v>#REF!</v>
      </c>
    </row>
    <row r="233" spans="1:10" ht="15.75" thickBot="1">
      <c r="A233" s="153" t="s">
        <v>49</v>
      </c>
      <c r="B233" s="56">
        <v>24555</v>
      </c>
      <c r="C233" s="67" t="e">
        <f>IF(C232&gt;0,ROUND(B233*C232,-2),0)</f>
        <v>#REF!</v>
      </c>
      <c r="D233" s="57" t="e">
        <f>+C233</f>
        <v>#REF!</v>
      </c>
      <c r="E233" s="154" t="e">
        <f>ROUND(E232/E231,0)</f>
        <v>#REF!</v>
      </c>
      <c r="F233" s="153" t="s">
        <v>49</v>
      </c>
      <c r="G233" s="56">
        <v>24555</v>
      </c>
      <c r="H233" s="67">
        <v>0</v>
      </c>
      <c r="I233" s="57">
        <f>+H233</f>
        <v>0</v>
      </c>
      <c r="J233" s="154" t="e">
        <f>ROUND(J232/J231,0)</f>
        <v>#REF!</v>
      </c>
    </row>
    <row r="234" spans="1:10" ht="12.75">
      <c r="A234" s="155"/>
      <c r="B234" s="145" t="s">
        <v>88</v>
      </c>
      <c r="C234" s="146">
        <v>0</v>
      </c>
      <c r="D234" s="144"/>
      <c r="E234" s="156"/>
      <c r="F234" s="155"/>
      <c r="G234" s="145" t="s">
        <v>88</v>
      </c>
      <c r="H234" s="146">
        <v>0</v>
      </c>
      <c r="I234" s="144"/>
      <c r="J234" s="156"/>
    </row>
    <row r="236" ht="13.5" thickBot="1"/>
    <row r="237" spans="1:10" ht="12.75">
      <c r="A237" s="70" t="e">
        <f>+#REF!</f>
        <v>#REF!</v>
      </c>
      <c r="B237" s="30"/>
      <c r="C237" s="31"/>
      <c r="D237" s="31"/>
      <c r="E237" s="32"/>
      <c r="F237" s="70" t="e">
        <f>+#REF!</f>
        <v>#REF!</v>
      </c>
      <c r="G237" s="30"/>
      <c r="H237" s="31"/>
      <c r="I237" s="31"/>
      <c r="J237" s="32"/>
    </row>
    <row r="238" spans="1:10" ht="12.75">
      <c r="A238" s="34" t="s">
        <v>19</v>
      </c>
      <c r="B238" s="35"/>
      <c r="C238" s="36"/>
      <c r="D238" s="36"/>
      <c r="E238" s="37"/>
      <c r="F238" s="34" t="s">
        <v>19</v>
      </c>
      <c r="G238" s="35"/>
      <c r="H238" s="36"/>
      <c r="I238" s="36"/>
      <c r="J238" s="37"/>
    </row>
    <row r="239" spans="1:10" ht="12.75">
      <c r="A239" s="38"/>
      <c r="B239" s="39"/>
      <c r="C239" s="39"/>
      <c r="D239" s="36"/>
      <c r="E239" s="37"/>
      <c r="F239" s="38"/>
      <c r="G239" s="39"/>
      <c r="H239" s="39"/>
      <c r="I239" s="36"/>
      <c r="J239" s="37"/>
    </row>
    <row r="240" spans="1:10" ht="12.75">
      <c r="A240" s="38" t="s">
        <v>50</v>
      </c>
      <c r="B240" s="40"/>
      <c r="C240" s="41" t="e">
        <f>+#REF!</f>
        <v>#REF!</v>
      </c>
      <c r="D240" s="36"/>
      <c r="E240" s="164" t="e">
        <f>+C240/23</f>
        <v>#REF!</v>
      </c>
      <c r="F240" s="38" t="s">
        <v>50</v>
      </c>
      <c r="G240" s="40"/>
      <c r="H240" s="41" t="e">
        <f>+#REF!</f>
        <v>#REF!</v>
      </c>
      <c r="I240" s="36"/>
      <c r="J240" s="37"/>
    </row>
    <row r="241" spans="1:10" ht="12.75">
      <c r="A241" s="38" t="s">
        <v>20</v>
      </c>
      <c r="B241" s="40"/>
      <c r="C241" s="41">
        <v>0</v>
      </c>
      <c r="D241" s="36"/>
      <c r="E241" s="37"/>
      <c r="F241" s="38" t="s">
        <v>20</v>
      </c>
      <c r="G241" s="40"/>
      <c r="H241" s="41">
        <v>0</v>
      </c>
      <c r="I241" s="36"/>
      <c r="J241" s="37"/>
    </row>
    <row r="242" spans="1:10" ht="12.75">
      <c r="A242" s="34" t="s">
        <v>6</v>
      </c>
      <c r="B242" s="35">
        <f>SUM(B240:B241)</f>
        <v>0</v>
      </c>
      <c r="C242" s="35" t="e">
        <f>SUM(C240:C241)</f>
        <v>#REF!</v>
      </c>
      <c r="D242" s="36"/>
      <c r="E242" s="37"/>
      <c r="F242" s="34" t="s">
        <v>6</v>
      </c>
      <c r="G242" s="35">
        <f>SUM(G240:G241)</f>
        <v>0</v>
      </c>
      <c r="H242" s="35" t="e">
        <f>SUM(H240:H241)</f>
        <v>#REF!</v>
      </c>
      <c r="I242" s="36"/>
      <c r="J242" s="37"/>
    </row>
    <row r="243" spans="1:10" ht="12.75">
      <c r="A243" s="38" t="s">
        <v>21</v>
      </c>
      <c r="B243" s="40"/>
      <c r="C243" s="41" t="e">
        <f>+#REF!</f>
        <v>#REF!</v>
      </c>
      <c r="D243" s="36"/>
      <c r="E243" s="37"/>
      <c r="F243" s="38" t="s">
        <v>21</v>
      </c>
      <c r="G243" s="40"/>
      <c r="H243" s="41" t="e">
        <f>+#REF!</f>
        <v>#REF!</v>
      </c>
      <c r="I243" s="36"/>
      <c r="J243" s="37"/>
    </row>
    <row r="244" spans="1:10" ht="12.75">
      <c r="A244" s="38" t="s">
        <v>22</v>
      </c>
      <c r="B244" s="40"/>
      <c r="C244" s="41" t="e">
        <f>+#REF!</f>
        <v>#REF!</v>
      </c>
      <c r="D244" s="36"/>
      <c r="E244" s="37"/>
      <c r="F244" s="38" t="s">
        <v>22</v>
      </c>
      <c r="G244" s="40"/>
      <c r="H244" s="41" t="e">
        <f>+#REF!</f>
        <v>#REF!</v>
      </c>
      <c r="I244" s="36"/>
      <c r="J244" s="37"/>
    </row>
    <row r="245" spans="1:10" ht="12.75">
      <c r="A245" s="38" t="s">
        <v>23</v>
      </c>
      <c r="B245" s="40"/>
      <c r="C245" s="41">
        <v>0</v>
      </c>
      <c r="D245" s="36"/>
      <c r="E245" s="37"/>
      <c r="F245" s="38" t="s">
        <v>23</v>
      </c>
      <c r="G245" s="40"/>
      <c r="H245" s="41">
        <v>0</v>
      </c>
      <c r="I245" s="36"/>
      <c r="J245" s="37"/>
    </row>
    <row r="246" spans="1:10" ht="12.75">
      <c r="A246" s="34" t="s">
        <v>24</v>
      </c>
      <c r="B246" s="35">
        <f>+B242-B243-B244-B245</f>
        <v>0</v>
      </c>
      <c r="C246" s="35" t="e">
        <f>+C242-C243-C244-C245</f>
        <v>#REF!</v>
      </c>
      <c r="D246" s="36"/>
      <c r="E246" s="37"/>
      <c r="F246" s="34" t="s">
        <v>24</v>
      </c>
      <c r="G246" s="35">
        <f>+G242-G243-G244-G245</f>
        <v>0</v>
      </c>
      <c r="H246" s="35" t="e">
        <f>+H242-H243-H244-H245</f>
        <v>#REF!</v>
      </c>
      <c r="I246" s="36"/>
      <c r="J246" s="37"/>
    </row>
    <row r="247" spans="1:10" ht="12.75">
      <c r="A247" s="43" t="s">
        <v>25</v>
      </c>
      <c r="B247" s="40">
        <f>+B246*0.3</f>
        <v>0</v>
      </c>
      <c r="C247" s="40" t="e">
        <f>+C246*0.25</f>
        <v>#REF!</v>
      </c>
      <c r="D247" s="40"/>
      <c r="E247" s="37"/>
      <c r="F247" s="43" t="s">
        <v>25</v>
      </c>
      <c r="G247" s="40">
        <f>+G246*0.3</f>
        <v>0</v>
      </c>
      <c r="H247" s="40" t="e">
        <f>+H246*0.25</f>
        <v>#REF!</v>
      </c>
      <c r="I247" s="40"/>
      <c r="J247" s="37"/>
    </row>
    <row r="248" spans="1:10" ht="12.75">
      <c r="A248" s="43"/>
      <c r="B248" s="40">
        <f>+B246-B247</f>
        <v>0</v>
      </c>
      <c r="C248" s="40" t="e">
        <f>+C246-C247</f>
        <v>#REF!</v>
      </c>
      <c r="D248" s="40" t="e">
        <f>SUM(B248:C248)</f>
        <v>#REF!</v>
      </c>
      <c r="E248" s="37"/>
      <c r="F248" s="43"/>
      <c r="G248" s="40">
        <f>+G246-G247</f>
        <v>0</v>
      </c>
      <c r="H248" s="40" t="e">
        <f>+H246-H247</f>
        <v>#REF!</v>
      </c>
      <c r="I248" s="40" t="e">
        <f>SUM(G248:H248)</f>
        <v>#REF!</v>
      </c>
      <c r="J248" s="37"/>
    </row>
    <row r="249" spans="1:10" ht="12.75">
      <c r="A249" s="34" t="s">
        <v>26</v>
      </c>
      <c r="B249" s="35"/>
      <c r="C249" s="35"/>
      <c r="D249" s="35" t="e">
        <f>+D248/1</f>
        <v>#REF!</v>
      </c>
      <c r="E249" s="37"/>
      <c r="F249" s="34" t="s">
        <v>26</v>
      </c>
      <c r="G249" s="35"/>
      <c r="H249" s="35"/>
      <c r="I249" s="35" t="e">
        <f>+I248/1</f>
        <v>#REF!</v>
      </c>
      <c r="J249" s="37"/>
    </row>
    <row r="250" spans="1:10" ht="12.75">
      <c r="A250" s="38" t="s">
        <v>27</v>
      </c>
      <c r="B250" s="40"/>
      <c r="C250" s="40"/>
      <c r="D250" s="40">
        <f>(623425+330825)/12</f>
        <v>79520.83333333333</v>
      </c>
      <c r="E250" s="98" t="s">
        <v>70</v>
      </c>
      <c r="F250" s="38" t="s">
        <v>27</v>
      </c>
      <c r="G250" s="40"/>
      <c r="H250" s="40"/>
      <c r="I250" s="40">
        <f>9830915.14/12</f>
        <v>819242.9283333333</v>
      </c>
      <c r="J250" s="98" t="s">
        <v>70</v>
      </c>
    </row>
    <row r="251" spans="1:10" ht="12.75">
      <c r="A251" s="38" t="s">
        <v>68</v>
      </c>
      <c r="B251" s="40"/>
      <c r="C251" s="40"/>
      <c r="D251" s="40" t="e">
        <f>+#REF!</f>
        <v>#REF!</v>
      </c>
      <c r="E251" s="98"/>
      <c r="F251" s="38" t="s">
        <v>68</v>
      </c>
      <c r="G251" s="40"/>
      <c r="H251" s="40"/>
      <c r="I251" s="40" t="e">
        <f>+#REF!</f>
        <v>#REF!</v>
      </c>
      <c r="J251" s="98"/>
    </row>
    <row r="252" spans="1:10" ht="12.75">
      <c r="A252" s="34" t="s">
        <v>28</v>
      </c>
      <c r="B252" s="35"/>
      <c r="C252" s="35"/>
      <c r="D252" s="35" t="e">
        <f>+D249-D250-D251</f>
        <v>#REF!</v>
      </c>
      <c r="E252" s="37"/>
      <c r="F252" s="34" t="s">
        <v>28</v>
      </c>
      <c r="G252" s="35"/>
      <c r="H252" s="35"/>
      <c r="I252" s="35" t="e">
        <f>+I249-I250-I251</f>
        <v>#REF!</v>
      </c>
      <c r="J252" s="37"/>
    </row>
    <row r="253" spans="1:10" ht="12.75">
      <c r="A253" s="34" t="s">
        <v>29</v>
      </c>
      <c r="B253" s="44"/>
      <c r="C253" s="44"/>
      <c r="D253" s="44"/>
      <c r="E253" s="37"/>
      <c r="F253" s="34" t="s">
        <v>29</v>
      </c>
      <c r="G253" s="44"/>
      <c r="H253" s="44"/>
      <c r="I253" s="44"/>
      <c r="J253" s="37"/>
    </row>
    <row r="254" spans="1:10" ht="12.75">
      <c r="A254" s="84"/>
      <c r="B254" s="85"/>
      <c r="C254" s="85"/>
      <c r="D254" s="85"/>
      <c r="E254" s="86"/>
      <c r="F254" s="84"/>
      <c r="G254" s="85"/>
      <c r="H254" s="85"/>
      <c r="I254" s="85"/>
      <c r="J254" s="86"/>
    </row>
    <row r="255" spans="1:10" ht="12.75">
      <c r="A255" s="157" t="s">
        <v>28</v>
      </c>
      <c r="B255" s="158">
        <f>D253</f>
        <v>0</v>
      </c>
      <c r="C255" s="159"/>
      <c r="D255" s="160" t="s">
        <v>30</v>
      </c>
      <c r="E255" s="161">
        <v>24555</v>
      </c>
      <c r="F255" s="157" t="s">
        <v>28</v>
      </c>
      <c r="G255" s="158">
        <f>I253</f>
        <v>0</v>
      </c>
      <c r="H255" s="159"/>
      <c r="I255" s="160" t="s">
        <v>30</v>
      </c>
      <c r="J255" s="161">
        <v>24555</v>
      </c>
    </row>
    <row r="256" spans="1:10" ht="13.5" thickBot="1">
      <c r="A256" s="150" t="s">
        <v>98</v>
      </c>
      <c r="B256" s="53" t="e">
        <f>(+E257-95)*19%</f>
        <v>#REF!</v>
      </c>
      <c r="C256" s="53" t="e">
        <f>+B256</f>
        <v>#REF!</v>
      </c>
      <c r="D256" s="53"/>
      <c r="E256" s="152" t="e">
        <f>+D252</f>
        <v>#REF!</v>
      </c>
      <c r="F256" s="150">
        <v>0</v>
      </c>
      <c r="G256" s="53"/>
      <c r="H256" s="53">
        <f>+G256</f>
        <v>0</v>
      </c>
      <c r="I256" s="53"/>
      <c r="J256" s="152" t="e">
        <f>+I252</f>
        <v>#REF!</v>
      </c>
    </row>
    <row r="257" spans="1:10" ht="15.75" thickBot="1">
      <c r="A257" s="153" t="s">
        <v>49</v>
      </c>
      <c r="B257" s="56">
        <v>24555</v>
      </c>
      <c r="C257" s="67" t="e">
        <f>IF(C256&gt;0,ROUND(B257*C256,-2),0)</f>
        <v>#REF!</v>
      </c>
      <c r="D257" s="57" t="e">
        <f>+C257</f>
        <v>#REF!</v>
      </c>
      <c r="E257" s="154" t="e">
        <f>ROUND(E256/E255,0)</f>
        <v>#REF!</v>
      </c>
      <c r="F257" s="153" t="s">
        <v>49</v>
      </c>
      <c r="G257" s="56">
        <v>24555</v>
      </c>
      <c r="H257" s="67">
        <v>0</v>
      </c>
      <c r="I257" s="57">
        <f>+H257</f>
        <v>0</v>
      </c>
      <c r="J257" s="154" t="e">
        <f>ROUND(J256/J255,0)</f>
        <v>#REF!</v>
      </c>
    </row>
    <row r="258" spans="1:10" ht="12.75">
      <c r="A258" s="155"/>
      <c r="B258" s="145" t="s">
        <v>88</v>
      </c>
      <c r="C258" s="146">
        <v>0</v>
      </c>
      <c r="D258" s="144"/>
      <c r="E258" s="156"/>
      <c r="F258" s="155"/>
      <c r="G258" s="145" t="s">
        <v>88</v>
      </c>
      <c r="H258" s="146">
        <v>0</v>
      </c>
      <c r="I258" s="144"/>
      <c r="J258" s="156"/>
    </row>
  </sheetData>
  <sheetProtection/>
  <mergeCells count="3">
    <mergeCell ref="A1:J1"/>
    <mergeCell ref="A2:J2"/>
    <mergeCell ref="A3:J3"/>
  </mergeCells>
  <printOptions horizontalCentered="1"/>
  <pageMargins left="0.7480314960629921" right="0.1968503937007874" top="0.3937007874015748" bottom="0.984251968503937" header="0.2755905511811024" footer="0.5118110236220472"/>
  <pageSetup horizontalDpi="600" verticalDpi="600" orientation="landscape" paperSize="119" scale="70" r:id="rId4"/>
  <headerFooter alignWithMargins="0">
    <oddHeader>&amp;R
Pagina Nº&amp;P 
</oddHeader>
  </headerFooter>
  <rowBreaks count="3" manualBreakCount="3">
    <brk id="51" max="255" man="1"/>
    <brk id="98" max="255" man="1"/>
    <brk id="142" max="9" man="1"/>
  </rowBreaks>
  <colBreaks count="1" manualBreakCount="1">
    <brk id="10" max="189" man="1"/>
  </colBreaks>
  <drawing r:id="rId3"/>
  <legacyDrawing r:id="rId2"/>
</worksheet>
</file>

<file path=xl/worksheets/sheet2.xml><?xml version="1.0" encoding="utf-8"?>
<worksheet xmlns="http://schemas.openxmlformats.org/spreadsheetml/2006/main" xmlns:r="http://schemas.openxmlformats.org/officeDocument/2006/relationships">
  <dimension ref="A1:O152"/>
  <sheetViews>
    <sheetView tabSelected="1" zoomScalePageLayoutView="0" workbookViewId="0" topLeftCell="A1">
      <selection activeCell="A3" sqref="A3"/>
    </sheetView>
  </sheetViews>
  <sheetFormatPr defaultColWidth="11.421875" defaultRowHeight="12.75" zeroHeight="1"/>
  <cols>
    <col min="1" max="1" width="41.140625" style="0" bestFit="1" customWidth="1"/>
    <col min="2" max="2" width="15.421875" style="0" customWidth="1"/>
    <col min="5" max="5" width="12.57421875" style="0" customWidth="1"/>
    <col min="8" max="8" width="13.140625" style="0" customWidth="1"/>
    <col min="12" max="12" width="13.7109375" style="0" customWidth="1"/>
    <col min="13" max="13" width="28.7109375" style="0" customWidth="1"/>
    <col min="16" max="16" width="5.8515625" style="0" customWidth="1"/>
    <col min="17" max="16384" width="0" style="0" hidden="1" customWidth="1"/>
  </cols>
  <sheetData>
    <row r="1" spans="1:15" ht="29.25" customHeight="1">
      <c r="A1" s="610" t="s">
        <v>546</v>
      </c>
      <c r="B1" s="610"/>
      <c r="C1" s="610"/>
      <c r="D1" s="610"/>
      <c r="E1" s="610"/>
      <c r="F1" s="610"/>
      <c r="G1" s="610"/>
      <c r="H1" s="610"/>
      <c r="I1" s="610"/>
      <c r="J1" s="610"/>
      <c r="K1" s="610"/>
      <c r="L1" s="610"/>
      <c r="M1" s="610"/>
      <c r="N1" s="610"/>
      <c r="O1" s="610"/>
    </row>
    <row r="2" spans="1:15" ht="27.75" customHeight="1">
      <c r="A2" s="610"/>
      <c r="B2" s="610"/>
      <c r="C2" s="610"/>
      <c r="D2" s="610"/>
      <c r="E2" s="610"/>
      <c r="F2" s="610"/>
      <c r="G2" s="610"/>
      <c r="H2" s="610"/>
      <c r="I2" s="610"/>
      <c r="J2" s="610"/>
      <c r="K2" s="610"/>
      <c r="L2" s="610"/>
      <c r="M2" s="610"/>
      <c r="N2" s="610"/>
      <c r="O2" s="610"/>
    </row>
    <row r="3" spans="1:15" s="609" customFormat="1" ht="31.5">
      <c r="A3" s="447" t="s">
        <v>547</v>
      </c>
      <c r="B3" s="447" t="s">
        <v>548</v>
      </c>
      <c r="C3" s="447" t="s">
        <v>549</v>
      </c>
      <c r="D3" s="447" t="s">
        <v>550</v>
      </c>
      <c r="E3" s="447" t="s">
        <v>551</v>
      </c>
      <c r="F3" s="447" t="s">
        <v>12</v>
      </c>
      <c r="G3" s="447" t="s">
        <v>552</v>
      </c>
      <c r="H3" s="447" t="s">
        <v>553</v>
      </c>
      <c r="I3" s="447" t="s">
        <v>554</v>
      </c>
      <c r="J3" s="447" t="s">
        <v>555</v>
      </c>
      <c r="K3" s="447" t="s">
        <v>556</v>
      </c>
      <c r="L3" s="447" t="s">
        <v>311</v>
      </c>
      <c r="M3" s="447" t="s">
        <v>557</v>
      </c>
      <c r="N3" s="447" t="s">
        <v>558</v>
      </c>
      <c r="O3" s="447" t="s">
        <v>559</v>
      </c>
    </row>
    <row r="4" spans="1:15" s="611" customFormat="1" ht="15.75" customHeight="1">
      <c r="A4" s="400" t="s">
        <v>560</v>
      </c>
      <c r="B4" s="612" t="s">
        <v>561</v>
      </c>
      <c r="C4" s="400">
        <v>7000000</v>
      </c>
      <c r="D4" s="614">
        <v>44575</v>
      </c>
      <c r="E4" s="614">
        <v>44755</v>
      </c>
      <c r="F4" s="613" t="s">
        <v>562</v>
      </c>
      <c r="G4" s="612" t="s">
        <v>563</v>
      </c>
      <c r="H4" s="612" t="s">
        <v>564</v>
      </c>
      <c r="I4" s="400" t="s">
        <v>565</v>
      </c>
      <c r="J4" s="400" t="s">
        <v>566</v>
      </c>
      <c r="K4" s="400" t="s">
        <v>567</v>
      </c>
      <c r="L4" s="612" t="s">
        <v>568</v>
      </c>
      <c r="M4" s="400" t="s">
        <v>569</v>
      </c>
      <c r="N4" s="400">
        <v>2170711</v>
      </c>
      <c r="O4" s="400">
        <v>1029</v>
      </c>
    </row>
    <row r="5" spans="1:15" s="611" customFormat="1" ht="15.75" customHeight="1">
      <c r="A5" s="400" t="s">
        <v>570</v>
      </c>
      <c r="B5" s="612" t="s">
        <v>571</v>
      </c>
      <c r="C5" s="400">
        <v>7000000</v>
      </c>
      <c r="D5" s="614">
        <v>44575</v>
      </c>
      <c r="E5" s="614">
        <v>44755</v>
      </c>
      <c r="F5" s="613" t="s">
        <v>562</v>
      </c>
      <c r="G5" s="612" t="s">
        <v>572</v>
      </c>
      <c r="H5" s="612" t="s">
        <v>573</v>
      </c>
      <c r="I5" s="400" t="s">
        <v>565</v>
      </c>
      <c r="J5" s="400" t="s">
        <v>566</v>
      </c>
      <c r="K5" s="400" t="s">
        <v>567</v>
      </c>
      <c r="L5" s="612" t="s">
        <v>568</v>
      </c>
      <c r="M5" s="400" t="s">
        <v>574</v>
      </c>
      <c r="N5" s="400">
        <v>2170711</v>
      </c>
      <c r="O5" s="400">
        <v>1029</v>
      </c>
    </row>
    <row r="6" spans="1:15" s="611" customFormat="1" ht="15.75" customHeight="1">
      <c r="A6" s="400" t="s">
        <v>575</v>
      </c>
      <c r="B6" s="612" t="s">
        <v>576</v>
      </c>
      <c r="C6" s="400">
        <v>7000000</v>
      </c>
      <c r="D6" s="614">
        <v>44575</v>
      </c>
      <c r="E6" s="614">
        <v>44755</v>
      </c>
      <c r="F6" s="613" t="s">
        <v>562</v>
      </c>
      <c r="G6" s="612" t="s">
        <v>577</v>
      </c>
      <c r="H6" s="612" t="s">
        <v>578</v>
      </c>
      <c r="I6" s="400" t="s">
        <v>565</v>
      </c>
      <c r="J6" s="400" t="s">
        <v>566</v>
      </c>
      <c r="K6" s="400" t="s">
        <v>579</v>
      </c>
      <c r="L6" s="612" t="s">
        <v>568</v>
      </c>
      <c r="M6" s="400" t="s">
        <v>580</v>
      </c>
      <c r="N6" s="400">
        <v>2170711</v>
      </c>
      <c r="O6" s="400">
        <v>1029</v>
      </c>
    </row>
    <row r="7" spans="1:15" s="611" customFormat="1" ht="15.75" customHeight="1">
      <c r="A7" s="400" t="s">
        <v>581</v>
      </c>
      <c r="B7" s="612" t="s">
        <v>561</v>
      </c>
      <c r="C7" s="400">
        <v>7000000</v>
      </c>
      <c r="D7" s="614">
        <v>44579</v>
      </c>
      <c r="E7" s="614">
        <v>44759</v>
      </c>
      <c r="F7" s="613" t="s">
        <v>562</v>
      </c>
      <c r="G7" s="612" t="s">
        <v>582</v>
      </c>
      <c r="H7" s="612" t="s">
        <v>583</v>
      </c>
      <c r="I7" s="400" t="s">
        <v>565</v>
      </c>
      <c r="J7" s="400" t="s">
        <v>584</v>
      </c>
      <c r="K7" s="400" t="s">
        <v>585</v>
      </c>
      <c r="L7" s="612" t="s">
        <v>568</v>
      </c>
      <c r="M7" s="400" t="s">
        <v>586</v>
      </c>
      <c r="N7" s="400">
        <v>2170711</v>
      </c>
      <c r="O7" s="400">
        <v>1029</v>
      </c>
    </row>
    <row r="8" spans="1:15" s="611" customFormat="1" ht="15.75" customHeight="1">
      <c r="A8" s="400" t="s">
        <v>587</v>
      </c>
      <c r="B8" s="612" t="s">
        <v>588</v>
      </c>
      <c r="C8" s="400">
        <v>3000000</v>
      </c>
      <c r="D8" s="614">
        <v>44578</v>
      </c>
      <c r="E8" s="614">
        <v>44758</v>
      </c>
      <c r="F8" s="613" t="s">
        <v>562</v>
      </c>
      <c r="G8" s="612" t="s">
        <v>477</v>
      </c>
      <c r="H8" s="612" t="s">
        <v>589</v>
      </c>
      <c r="I8" s="400" t="s">
        <v>565</v>
      </c>
      <c r="J8" s="400" t="s">
        <v>584</v>
      </c>
      <c r="K8" s="400" t="s">
        <v>585</v>
      </c>
      <c r="L8" s="612" t="s">
        <v>568</v>
      </c>
      <c r="M8" s="400" t="s">
        <v>590</v>
      </c>
      <c r="N8" s="400">
        <v>2170711</v>
      </c>
      <c r="O8" s="400">
        <v>1027</v>
      </c>
    </row>
    <row r="9" spans="1:15" s="611" customFormat="1" ht="15.75" customHeight="1">
      <c r="A9" s="400" t="s">
        <v>591</v>
      </c>
      <c r="B9" s="612" t="s">
        <v>592</v>
      </c>
      <c r="C9" s="400">
        <v>3000000</v>
      </c>
      <c r="D9" s="614">
        <v>44579</v>
      </c>
      <c r="E9" s="614">
        <v>44759</v>
      </c>
      <c r="F9" s="613" t="s">
        <v>562</v>
      </c>
      <c r="G9" s="612" t="s">
        <v>477</v>
      </c>
      <c r="H9" s="612" t="s">
        <v>593</v>
      </c>
      <c r="I9" s="400" t="s">
        <v>565</v>
      </c>
      <c r="J9" s="400" t="s">
        <v>584</v>
      </c>
      <c r="K9" s="400" t="s">
        <v>585</v>
      </c>
      <c r="L9" s="612" t="s">
        <v>568</v>
      </c>
      <c r="M9" s="400" t="s">
        <v>594</v>
      </c>
      <c r="N9" s="400">
        <v>2170711</v>
      </c>
      <c r="O9" s="400">
        <v>1030</v>
      </c>
    </row>
    <row r="10" spans="1:15" s="611" customFormat="1" ht="15.75" customHeight="1">
      <c r="A10" s="400" t="s">
        <v>595</v>
      </c>
      <c r="B10" s="612" t="s">
        <v>596</v>
      </c>
      <c r="C10" s="400">
        <v>5000000</v>
      </c>
      <c r="D10" s="614">
        <v>44578</v>
      </c>
      <c r="E10" s="614">
        <v>44758</v>
      </c>
      <c r="F10" s="613" t="s">
        <v>562</v>
      </c>
      <c r="G10" s="612" t="s">
        <v>597</v>
      </c>
      <c r="H10" s="612" t="s">
        <v>598</v>
      </c>
      <c r="I10" s="400" t="s">
        <v>565</v>
      </c>
      <c r="J10" s="400" t="s">
        <v>599</v>
      </c>
      <c r="K10" s="400" t="s">
        <v>600</v>
      </c>
      <c r="L10" s="612" t="s">
        <v>568</v>
      </c>
      <c r="M10" s="400" t="s">
        <v>601</v>
      </c>
      <c r="N10" s="400">
        <v>2170711</v>
      </c>
      <c r="O10" s="400">
        <v>1029</v>
      </c>
    </row>
    <row r="11" spans="1:15" s="611" customFormat="1" ht="15.75" customHeight="1">
      <c r="A11" s="400" t="s">
        <v>602</v>
      </c>
      <c r="B11" s="612" t="s">
        <v>603</v>
      </c>
      <c r="C11" s="400">
        <v>7600000</v>
      </c>
      <c r="D11" s="614">
        <v>44578</v>
      </c>
      <c r="E11" s="614">
        <v>44758</v>
      </c>
      <c r="F11" s="613" t="s">
        <v>562</v>
      </c>
      <c r="G11" s="612" t="s">
        <v>582</v>
      </c>
      <c r="H11" s="612" t="s">
        <v>583</v>
      </c>
      <c r="I11" s="400" t="s">
        <v>565</v>
      </c>
      <c r="J11" s="400" t="s">
        <v>604</v>
      </c>
      <c r="K11" s="400" t="s">
        <v>605</v>
      </c>
      <c r="L11" s="612" t="s">
        <v>568</v>
      </c>
      <c r="M11" s="400" t="s">
        <v>606</v>
      </c>
      <c r="N11" s="400">
        <v>2170711</v>
      </c>
      <c r="O11" s="400">
        <v>1029</v>
      </c>
    </row>
    <row r="12" spans="1:15" s="611" customFormat="1" ht="15.75" customHeight="1">
      <c r="A12" s="400" t="s">
        <v>607</v>
      </c>
      <c r="B12" s="612" t="s">
        <v>608</v>
      </c>
      <c r="C12" s="400">
        <v>6000000</v>
      </c>
      <c r="D12" s="614">
        <v>44579</v>
      </c>
      <c r="E12" s="614">
        <v>44759</v>
      </c>
      <c r="F12" s="613" t="s">
        <v>562</v>
      </c>
      <c r="G12" s="612" t="s">
        <v>609</v>
      </c>
      <c r="H12" s="612" t="s">
        <v>610</v>
      </c>
      <c r="I12" s="400" t="s">
        <v>565</v>
      </c>
      <c r="J12" s="400" t="s">
        <v>584</v>
      </c>
      <c r="K12" s="400" t="s">
        <v>611</v>
      </c>
      <c r="L12" s="612" t="s">
        <v>568</v>
      </c>
      <c r="M12" s="400" t="s">
        <v>612</v>
      </c>
      <c r="N12" s="400">
        <v>2170711</v>
      </c>
      <c r="O12" s="400">
        <v>1029</v>
      </c>
    </row>
    <row r="13" spans="1:15" s="611" customFormat="1" ht="15.75" customHeight="1">
      <c r="A13" s="400" t="s">
        <v>613</v>
      </c>
      <c r="B13" s="612" t="s">
        <v>614</v>
      </c>
      <c r="C13" s="400">
        <v>2900000</v>
      </c>
      <c r="D13" s="614">
        <v>44579</v>
      </c>
      <c r="E13" s="614">
        <v>44759</v>
      </c>
      <c r="F13" s="613" t="s">
        <v>562</v>
      </c>
      <c r="G13" s="612" t="s">
        <v>615</v>
      </c>
      <c r="H13" s="612" t="s">
        <v>616</v>
      </c>
      <c r="I13" s="400" t="s">
        <v>565</v>
      </c>
      <c r="J13" s="400" t="s">
        <v>584</v>
      </c>
      <c r="K13" s="400" t="s">
        <v>585</v>
      </c>
      <c r="L13" s="612" t="s">
        <v>568</v>
      </c>
      <c r="M13" s="400" t="s">
        <v>617</v>
      </c>
      <c r="N13" s="400">
        <v>2170711</v>
      </c>
      <c r="O13" s="400">
        <v>1029</v>
      </c>
    </row>
    <row r="14" spans="1:15" s="611" customFormat="1" ht="15.75" customHeight="1">
      <c r="A14" s="400" t="s">
        <v>618</v>
      </c>
      <c r="B14" s="612" t="s">
        <v>619</v>
      </c>
      <c r="C14" s="400">
        <v>7600000</v>
      </c>
      <c r="D14" s="614">
        <v>44579</v>
      </c>
      <c r="E14" s="614">
        <v>44759</v>
      </c>
      <c r="F14" s="613" t="s">
        <v>562</v>
      </c>
      <c r="G14" s="612" t="s">
        <v>572</v>
      </c>
      <c r="H14" s="612" t="s">
        <v>573</v>
      </c>
      <c r="I14" s="400" t="s">
        <v>565</v>
      </c>
      <c r="J14" s="400" t="s">
        <v>584</v>
      </c>
      <c r="K14" s="400" t="s">
        <v>585</v>
      </c>
      <c r="L14" s="612" t="s">
        <v>568</v>
      </c>
      <c r="M14" s="400" t="s">
        <v>620</v>
      </c>
      <c r="N14" s="400">
        <v>2170711</v>
      </c>
      <c r="O14" s="400">
        <v>1029</v>
      </c>
    </row>
    <row r="15" spans="1:15" s="611" customFormat="1" ht="15.75" customHeight="1">
      <c r="A15" s="400" t="s">
        <v>621</v>
      </c>
      <c r="B15" s="612" t="s">
        <v>622</v>
      </c>
      <c r="C15" s="400">
        <v>7000000</v>
      </c>
      <c r="D15" s="614">
        <v>44578</v>
      </c>
      <c r="E15" s="614">
        <v>44758</v>
      </c>
      <c r="F15" s="613" t="s">
        <v>562</v>
      </c>
      <c r="G15" s="612" t="s">
        <v>615</v>
      </c>
      <c r="H15" s="612" t="s">
        <v>610</v>
      </c>
      <c r="I15" s="400" t="s">
        <v>565</v>
      </c>
      <c r="J15" s="400" t="s">
        <v>584</v>
      </c>
      <c r="K15" s="400" t="s">
        <v>585</v>
      </c>
      <c r="L15" s="612" t="s">
        <v>568</v>
      </c>
      <c r="M15" s="400" t="s">
        <v>623</v>
      </c>
      <c r="N15" s="400">
        <v>2170711</v>
      </c>
      <c r="O15" s="400">
        <v>1029</v>
      </c>
    </row>
    <row r="16" spans="1:15" s="611" customFormat="1" ht="15.75" customHeight="1">
      <c r="A16" s="400" t="s">
        <v>624</v>
      </c>
      <c r="B16" s="612" t="s">
        <v>625</v>
      </c>
      <c r="C16" s="400">
        <v>6000000</v>
      </c>
      <c r="D16" s="614">
        <v>44578</v>
      </c>
      <c r="E16" s="614">
        <v>44758</v>
      </c>
      <c r="F16" s="613" t="s">
        <v>562</v>
      </c>
      <c r="G16" s="612" t="s">
        <v>626</v>
      </c>
      <c r="H16" s="612" t="s">
        <v>578</v>
      </c>
      <c r="I16" s="400" t="s">
        <v>565</v>
      </c>
      <c r="J16" s="400" t="s">
        <v>584</v>
      </c>
      <c r="K16" s="400" t="s">
        <v>585</v>
      </c>
      <c r="L16" s="612" t="s">
        <v>568</v>
      </c>
      <c r="M16" s="400" t="s">
        <v>627</v>
      </c>
      <c r="N16" s="400">
        <v>2170711</v>
      </c>
      <c r="O16" s="400">
        <v>1029</v>
      </c>
    </row>
    <row r="17" spans="1:15" s="611" customFormat="1" ht="15.75" customHeight="1">
      <c r="A17" s="400" t="s">
        <v>628</v>
      </c>
      <c r="B17" s="612" t="s">
        <v>629</v>
      </c>
      <c r="C17" s="400">
        <v>7000000</v>
      </c>
      <c r="D17" s="614">
        <v>44579</v>
      </c>
      <c r="E17" s="614">
        <v>44882</v>
      </c>
      <c r="F17" s="613" t="s">
        <v>562</v>
      </c>
      <c r="G17" s="612" t="s">
        <v>630</v>
      </c>
      <c r="H17" s="612" t="s">
        <v>631</v>
      </c>
      <c r="I17" s="400" t="s">
        <v>565</v>
      </c>
      <c r="J17" s="400" t="s">
        <v>584</v>
      </c>
      <c r="K17" s="400" t="s">
        <v>585</v>
      </c>
      <c r="L17" s="612" t="s">
        <v>632</v>
      </c>
      <c r="M17" s="400" t="s">
        <v>633</v>
      </c>
      <c r="N17" s="400">
        <v>2170711</v>
      </c>
      <c r="O17" s="400">
        <v>1046</v>
      </c>
    </row>
    <row r="18" spans="1:15" s="611" customFormat="1" ht="15.75" customHeight="1">
      <c r="A18" s="400" t="s">
        <v>634</v>
      </c>
      <c r="B18" s="612" t="s">
        <v>635</v>
      </c>
      <c r="C18" s="400">
        <v>8000000</v>
      </c>
      <c r="D18" s="614">
        <v>44578</v>
      </c>
      <c r="E18" s="614">
        <v>44881</v>
      </c>
      <c r="F18" s="613" t="s">
        <v>562</v>
      </c>
      <c r="G18" s="612" t="s">
        <v>636</v>
      </c>
      <c r="H18" s="612" t="s">
        <v>573</v>
      </c>
      <c r="I18" s="400" t="s">
        <v>565</v>
      </c>
      <c r="J18" s="400" t="s">
        <v>584</v>
      </c>
      <c r="K18" s="400" t="s">
        <v>585</v>
      </c>
      <c r="L18" s="612" t="s">
        <v>637</v>
      </c>
      <c r="M18" s="400" t="s">
        <v>638</v>
      </c>
      <c r="N18" s="400">
        <v>2170711</v>
      </c>
      <c r="O18" s="400">
        <v>1062</v>
      </c>
    </row>
    <row r="19" spans="1:15" s="611" customFormat="1" ht="15.75" customHeight="1">
      <c r="A19" s="400" t="s">
        <v>639</v>
      </c>
      <c r="B19" s="612" t="s">
        <v>640</v>
      </c>
      <c r="C19" s="400">
        <v>4400000</v>
      </c>
      <c r="D19" s="614">
        <v>44582</v>
      </c>
      <c r="E19" s="614">
        <v>44885</v>
      </c>
      <c r="F19" s="613" t="s">
        <v>562</v>
      </c>
      <c r="G19" s="612" t="s">
        <v>641</v>
      </c>
      <c r="H19" s="612" t="s">
        <v>642</v>
      </c>
      <c r="I19" s="400" t="s">
        <v>565</v>
      </c>
      <c r="J19" s="400" t="s">
        <v>584</v>
      </c>
      <c r="K19" s="400" t="s">
        <v>585</v>
      </c>
      <c r="L19" s="612" t="s">
        <v>643</v>
      </c>
      <c r="M19" s="400" t="s">
        <v>644</v>
      </c>
      <c r="N19" s="400">
        <v>2170711</v>
      </c>
      <c r="O19" s="400">
        <v>1008</v>
      </c>
    </row>
    <row r="20" spans="1:15" s="611" customFormat="1" ht="15.75" customHeight="1">
      <c r="A20" s="400" t="s">
        <v>645</v>
      </c>
      <c r="B20" s="612" t="s">
        <v>646</v>
      </c>
      <c r="C20" s="400">
        <v>2450000</v>
      </c>
      <c r="D20" s="614">
        <v>44579</v>
      </c>
      <c r="E20" s="614">
        <v>44790</v>
      </c>
      <c r="F20" s="613" t="s">
        <v>562</v>
      </c>
      <c r="G20" s="612" t="s">
        <v>647</v>
      </c>
      <c r="H20" s="612"/>
      <c r="I20" s="400" t="s">
        <v>565</v>
      </c>
      <c r="J20" s="400" t="s">
        <v>584</v>
      </c>
      <c r="K20" s="400" t="s">
        <v>585</v>
      </c>
      <c r="L20" s="612" t="s">
        <v>632</v>
      </c>
      <c r="M20" s="400" t="s">
        <v>648</v>
      </c>
      <c r="N20" s="400">
        <v>2170711</v>
      </c>
      <c r="O20" s="400">
        <v>1046</v>
      </c>
    </row>
    <row r="21" spans="1:15" s="611" customFormat="1" ht="15.75" customHeight="1">
      <c r="A21" s="400" t="s">
        <v>649</v>
      </c>
      <c r="B21" s="612" t="s">
        <v>650</v>
      </c>
      <c r="C21" s="400">
        <v>4000000</v>
      </c>
      <c r="D21" s="614">
        <v>44579</v>
      </c>
      <c r="E21" s="614">
        <v>44882</v>
      </c>
      <c r="F21" s="613" t="s">
        <v>562</v>
      </c>
      <c r="G21" s="612" t="s">
        <v>651</v>
      </c>
      <c r="H21" s="612" t="s">
        <v>652</v>
      </c>
      <c r="I21" s="400" t="s">
        <v>653</v>
      </c>
      <c r="J21" s="400" t="s">
        <v>654</v>
      </c>
      <c r="K21" s="400" t="s">
        <v>655</v>
      </c>
      <c r="L21" s="612" t="s">
        <v>632</v>
      </c>
      <c r="M21" s="400" t="s">
        <v>656</v>
      </c>
      <c r="N21" s="400">
        <v>2170711</v>
      </c>
      <c r="O21" s="400">
        <v>1046</v>
      </c>
    </row>
    <row r="22" spans="1:15" s="611" customFormat="1" ht="15.75" customHeight="1">
      <c r="A22" s="400" t="s">
        <v>657</v>
      </c>
      <c r="B22" s="612" t="s">
        <v>658</v>
      </c>
      <c r="C22" s="400">
        <v>5000000</v>
      </c>
      <c r="D22" s="614">
        <v>44580</v>
      </c>
      <c r="E22" s="614">
        <v>44579</v>
      </c>
      <c r="F22" s="613" t="s">
        <v>562</v>
      </c>
      <c r="G22" s="612" t="s">
        <v>659</v>
      </c>
      <c r="H22" s="612" t="s">
        <v>660</v>
      </c>
      <c r="I22" s="400" t="s">
        <v>565</v>
      </c>
      <c r="J22" s="400" t="s">
        <v>584</v>
      </c>
      <c r="K22" s="400" t="s">
        <v>585</v>
      </c>
      <c r="L22" s="612" t="s">
        <v>632</v>
      </c>
      <c r="M22" s="400" t="s">
        <v>661</v>
      </c>
      <c r="N22" s="400">
        <v>2170711</v>
      </c>
      <c r="O22" s="400">
        <v>1046</v>
      </c>
    </row>
    <row r="23" spans="1:15" s="611" customFormat="1" ht="15.75" customHeight="1">
      <c r="A23" s="400" t="s">
        <v>662</v>
      </c>
      <c r="B23" s="612" t="s">
        <v>663</v>
      </c>
      <c r="C23" s="400">
        <v>7500000</v>
      </c>
      <c r="D23" s="614">
        <v>44579</v>
      </c>
      <c r="E23" s="614">
        <v>44882</v>
      </c>
      <c r="F23" s="613" t="s">
        <v>562</v>
      </c>
      <c r="G23" s="612" t="s">
        <v>664</v>
      </c>
      <c r="H23" s="612" t="s">
        <v>573</v>
      </c>
      <c r="I23" s="400" t="s">
        <v>565</v>
      </c>
      <c r="J23" s="400" t="s">
        <v>584</v>
      </c>
      <c r="K23" s="400" t="s">
        <v>585</v>
      </c>
      <c r="L23" s="612" t="s">
        <v>632</v>
      </c>
      <c r="M23" s="400" t="s">
        <v>665</v>
      </c>
      <c r="N23" s="400">
        <v>2170711</v>
      </c>
      <c r="O23" s="400">
        <v>1046</v>
      </c>
    </row>
    <row r="24" spans="1:15" s="611" customFormat="1" ht="15.75" customHeight="1">
      <c r="A24" s="400" t="s">
        <v>666</v>
      </c>
      <c r="B24" s="612" t="s">
        <v>667</v>
      </c>
      <c r="C24" s="400">
        <v>5000000</v>
      </c>
      <c r="D24" s="614">
        <v>44580</v>
      </c>
      <c r="E24" s="614">
        <v>44791</v>
      </c>
      <c r="F24" s="613" t="s">
        <v>562</v>
      </c>
      <c r="G24" s="612" t="s">
        <v>668</v>
      </c>
      <c r="H24" s="612"/>
      <c r="I24" s="400" t="s">
        <v>565</v>
      </c>
      <c r="J24" s="400" t="s">
        <v>584</v>
      </c>
      <c r="K24" s="400" t="s">
        <v>585</v>
      </c>
      <c r="L24" s="612" t="s">
        <v>632</v>
      </c>
      <c r="M24" s="400" t="s">
        <v>669</v>
      </c>
      <c r="N24" s="400">
        <v>2170711</v>
      </c>
      <c r="O24" s="400">
        <v>1046</v>
      </c>
    </row>
    <row r="25" spans="1:15" s="611" customFormat="1" ht="15.75" customHeight="1">
      <c r="A25" s="400" t="s">
        <v>670</v>
      </c>
      <c r="B25" s="612" t="s">
        <v>671</v>
      </c>
      <c r="C25" s="400">
        <v>5610000</v>
      </c>
      <c r="D25" s="614">
        <v>44582</v>
      </c>
      <c r="E25" s="614">
        <v>44885</v>
      </c>
      <c r="F25" s="613" t="s">
        <v>562</v>
      </c>
      <c r="G25" s="612" t="s">
        <v>672</v>
      </c>
      <c r="H25" s="612" t="s">
        <v>660</v>
      </c>
      <c r="I25" s="400" t="s">
        <v>565</v>
      </c>
      <c r="J25" s="400" t="s">
        <v>584</v>
      </c>
      <c r="K25" s="400" t="s">
        <v>585</v>
      </c>
      <c r="L25" s="612" t="s">
        <v>673</v>
      </c>
      <c r="M25" s="400" t="s">
        <v>674</v>
      </c>
      <c r="N25" s="400">
        <v>2170711</v>
      </c>
      <c r="O25" s="400">
        <v>1032</v>
      </c>
    </row>
    <row r="26" spans="1:15" s="611" customFormat="1" ht="15.75" customHeight="1">
      <c r="A26" s="400" t="s">
        <v>675</v>
      </c>
      <c r="B26" s="612" t="s">
        <v>676</v>
      </c>
      <c r="C26" s="400">
        <v>3701000</v>
      </c>
      <c r="D26" s="614">
        <v>44585</v>
      </c>
      <c r="E26" s="614">
        <v>44888</v>
      </c>
      <c r="F26" s="613" t="s">
        <v>562</v>
      </c>
      <c r="G26" s="612" t="s">
        <v>677</v>
      </c>
      <c r="H26" s="612" t="s">
        <v>678</v>
      </c>
      <c r="I26" s="400" t="s">
        <v>565</v>
      </c>
      <c r="J26" s="400" t="s">
        <v>584</v>
      </c>
      <c r="K26" s="400" t="s">
        <v>585</v>
      </c>
      <c r="L26" s="612" t="s">
        <v>673</v>
      </c>
      <c r="M26" s="400" t="s">
        <v>679</v>
      </c>
      <c r="N26" s="400">
        <v>2170711</v>
      </c>
      <c r="O26" s="400">
        <v>1040</v>
      </c>
    </row>
    <row r="27" spans="1:15" s="611" customFormat="1" ht="15.75" customHeight="1">
      <c r="A27" s="400" t="s">
        <v>680</v>
      </c>
      <c r="B27" s="612" t="s">
        <v>681</v>
      </c>
      <c r="C27" s="400">
        <v>5050000</v>
      </c>
      <c r="D27" s="614">
        <v>44580</v>
      </c>
      <c r="E27" s="614">
        <v>44852</v>
      </c>
      <c r="F27" s="613" t="s">
        <v>562</v>
      </c>
      <c r="G27" s="612" t="s">
        <v>682</v>
      </c>
      <c r="H27" s="612" t="s">
        <v>598</v>
      </c>
      <c r="I27" s="400" t="s">
        <v>565</v>
      </c>
      <c r="J27" s="400" t="s">
        <v>566</v>
      </c>
      <c r="K27" s="400" t="s">
        <v>683</v>
      </c>
      <c r="L27" s="612" t="s">
        <v>637</v>
      </c>
      <c r="M27" s="400" t="s">
        <v>684</v>
      </c>
      <c r="N27" s="400">
        <v>2170711</v>
      </c>
      <c r="O27" s="400">
        <v>1061</v>
      </c>
    </row>
    <row r="28" spans="1:15" s="611" customFormat="1" ht="15.75" customHeight="1">
      <c r="A28" s="400" t="s">
        <v>685</v>
      </c>
      <c r="B28" s="612" t="s">
        <v>686</v>
      </c>
      <c r="C28" s="400">
        <v>5050000</v>
      </c>
      <c r="D28" s="614">
        <v>44580</v>
      </c>
      <c r="E28" s="614">
        <v>44852</v>
      </c>
      <c r="F28" s="613" t="s">
        <v>562</v>
      </c>
      <c r="G28" s="612" t="s">
        <v>687</v>
      </c>
      <c r="H28" s="612" t="s">
        <v>688</v>
      </c>
      <c r="I28" s="400" t="s">
        <v>565</v>
      </c>
      <c r="J28" s="400" t="s">
        <v>584</v>
      </c>
      <c r="K28" s="400" t="s">
        <v>585</v>
      </c>
      <c r="L28" s="612" t="s">
        <v>637</v>
      </c>
      <c r="M28" s="400" t="s">
        <v>689</v>
      </c>
      <c r="N28" s="400">
        <v>2170711</v>
      </c>
      <c r="O28" s="400">
        <v>1061</v>
      </c>
    </row>
    <row r="29" spans="1:15" s="611" customFormat="1" ht="15.75" customHeight="1">
      <c r="A29" s="400" t="s">
        <v>690</v>
      </c>
      <c r="B29" s="612" t="s">
        <v>691</v>
      </c>
      <c r="C29" s="400">
        <v>4500000</v>
      </c>
      <c r="D29" s="614">
        <v>44580</v>
      </c>
      <c r="E29" s="614">
        <v>44883</v>
      </c>
      <c r="F29" s="613" t="s">
        <v>562</v>
      </c>
      <c r="G29" s="612" t="s">
        <v>692</v>
      </c>
      <c r="H29" s="612" t="s">
        <v>693</v>
      </c>
      <c r="I29" s="400" t="s">
        <v>565</v>
      </c>
      <c r="J29" s="400" t="s">
        <v>584</v>
      </c>
      <c r="K29" s="400" t="s">
        <v>585</v>
      </c>
      <c r="L29" s="612" t="s">
        <v>632</v>
      </c>
      <c r="M29" s="400" t="s">
        <v>694</v>
      </c>
      <c r="N29" s="400">
        <v>2170711</v>
      </c>
      <c r="O29" s="400">
        <v>1046</v>
      </c>
    </row>
    <row r="30" spans="1:15" s="611" customFormat="1" ht="15.75" customHeight="1">
      <c r="A30" s="400" t="s">
        <v>695</v>
      </c>
      <c r="B30" s="612" t="s">
        <v>696</v>
      </c>
      <c r="C30" s="400">
        <v>4335000</v>
      </c>
      <c r="D30" s="614">
        <v>44585</v>
      </c>
      <c r="E30" s="614">
        <v>44888</v>
      </c>
      <c r="F30" s="613" t="s">
        <v>562</v>
      </c>
      <c r="G30" s="612" t="s">
        <v>697</v>
      </c>
      <c r="H30" s="612" t="s">
        <v>698</v>
      </c>
      <c r="I30" s="400" t="s">
        <v>565</v>
      </c>
      <c r="J30" s="400" t="s">
        <v>584</v>
      </c>
      <c r="K30" s="400" t="s">
        <v>585</v>
      </c>
      <c r="L30" s="612" t="s">
        <v>673</v>
      </c>
      <c r="M30" s="400" t="s">
        <v>699</v>
      </c>
      <c r="N30" s="400">
        <v>2170711</v>
      </c>
      <c r="O30" s="400">
        <v>1059</v>
      </c>
    </row>
    <row r="31" spans="1:15" s="611" customFormat="1" ht="15.75" customHeight="1">
      <c r="A31" s="400" t="s">
        <v>700</v>
      </c>
      <c r="B31" s="612" t="s">
        <v>701</v>
      </c>
      <c r="C31" s="400">
        <v>6500000</v>
      </c>
      <c r="D31" s="614">
        <v>44580</v>
      </c>
      <c r="E31" s="614">
        <v>44883</v>
      </c>
      <c r="F31" s="613" t="s">
        <v>562</v>
      </c>
      <c r="G31" s="612" t="s">
        <v>702</v>
      </c>
      <c r="H31" s="612"/>
      <c r="I31" s="400" t="s">
        <v>565</v>
      </c>
      <c r="J31" s="400" t="s">
        <v>584</v>
      </c>
      <c r="K31" s="400" t="s">
        <v>585</v>
      </c>
      <c r="L31" s="612" t="s">
        <v>632</v>
      </c>
      <c r="M31" s="400" t="s">
        <v>703</v>
      </c>
      <c r="N31" s="400">
        <v>2170711</v>
      </c>
      <c r="O31" s="400">
        <v>1046</v>
      </c>
    </row>
    <row r="32" spans="1:15" s="611" customFormat="1" ht="15.75" customHeight="1">
      <c r="A32" s="400" t="s">
        <v>704</v>
      </c>
      <c r="B32" s="612" t="s">
        <v>705</v>
      </c>
      <c r="C32" s="400">
        <v>4000000</v>
      </c>
      <c r="D32" s="614">
        <v>44580</v>
      </c>
      <c r="E32" s="614">
        <v>44822</v>
      </c>
      <c r="F32" s="613" t="s">
        <v>562</v>
      </c>
      <c r="G32" s="612" t="s">
        <v>706</v>
      </c>
      <c r="H32" s="612" t="s">
        <v>707</v>
      </c>
      <c r="I32" s="400" t="s">
        <v>565</v>
      </c>
      <c r="J32" s="400" t="s">
        <v>584</v>
      </c>
      <c r="K32" s="400" t="s">
        <v>585</v>
      </c>
      <c r="L32" s="612" t="s">
        <v>362</v>
      </c>
      <c r="M32" s="400" t="s">
        <v>708</v>
      </c>
      <c r="N32" s="400">
        <v>2170711</v>
      </c>
      <c r="O32" s="400">
        <v>1005</v>
      </c>
    </row>
    <row r="33" spans="1:15" s="611" customFormat="1" ht="15.75" customHeight="1">
      <c r="A33" s="400" t="s">
        <v>709</v>
      </c>
      <c r="B33" s="612" t="s">
        <v>710</v>
      </c>
      <c r="C33" s="400">
        <v>3060000</v>
      </c>
      <c r="D33" s="614">
        <v>44580</v>
      </c>
      <c r="E33" s="614">
        <v>44883</v>
      </c>
      <c r="F33" s="613" t="s">
        <v>562</v>
      </c>
      <c r="G33" s="612" t="s">
        <v>711</v>
      </c>
      <c r="H33" s="612" t="s">
        <v>712</v>
      </c>
      <c r="I33" s="400" t="s">
        <v>565</v>
      </c>
      <c r="J33" s="400" t="s">
        <v>713</v>
      </c>
      <c r="K33" s="400" t="s">
        <v>714</v>
      </c>
      <c r="L33" s="612" t="s">
        <v>673</v>
      </c>
      <c r="M33" s="400" t="s">
        <v>715</v>
      </c>
      <c r="N33" s="400">
        <v>2170711</v>
      </c>
      <c r="O33" s="400">
        <v>1036</v>
      </c>
    </row>
    <row r="34" spans="1:15" s="611" customFormat="1" ht="15.75" customHeight="1">
      <c r="A34" s="400" t="s">
        <v>716</v>
      </c>
      <c r="B34" s="612" t="s">
        <v>717</v>
      </c>
      <c r="C34" s="400">
        <v>3100000</v>
      </c>
      <c r="D34" s="614">
        <v>44581</v>
      </c>
      <c r="E34" s="614">
        <v>44823</v>
      </c>
      <c r="F34" s="613" t="s">
        <v>562</v>
      </c>
      <c r="G34" s="612" t="s">
        <v>659</v>
      </c>
      <c r="H34" s="612"/>
      <c r="I34" s="400" t="s">
        <v>565</v>
      </c>
      <c r="J34" s="400" t="s">
        <v>584</v>
      </c>
      <c r="K34" s="400" t="s">
        <v>585</v>
      </c>
      <c r="L34" s="612" t="s">
        <v>637</v>
      </c>
      <c r="M34" s="400" t="s">
        <v>718</v>
      </c>
      <c r="N34" s="400">
        <v>2170711</v>
      </c>
      <c r="O34" s="400">
        <v>1061</v>
      </c>
    </row>
    <row r="35" spans="1:15" s="611" customFormat="1" ht="15.75" customHeight="1">
      <c r="A35" s="400" t="s">
        <v>719</v>
      </c>
      <c r="B35" s="612" t="s">
        <v>720</v>
      </c>
      <c r="C35" s="400">
        <v>7000000</v>
      </c>
      <c r="D35" s="614">
        <v>44580</v>
      </c>
      <c r="E35" s="614">
        <v>44883</v>
      </c>
      <c r="F35" s="613" t="s">
        <v>562</v>
      </c>
      <c r="G35" s="612" t="s">
        <v>721</v>
      </c>
      <c r="H35" s="612" t="s">
        <v>722</v>
      </c>
      <c r="I35" s="400" t="s">
        <v>565</v>
      </c>
      <c r="J35" s="400" t="s">
        <v>723</v>
      </c>
      <c r="K35" s="400" t="s">
        <v>724</v>
      </c>
      <c r="L35" s="612" t="s">
        <v>632</v>
      </c>
      <c r="M35" s="400" t="s">
        <v>725</v>
      </c>
      <c r="N35" s="400">
        <v>2170711</v>
      </c>
      <c r="O35" s="400">
        <v>1046</v>
      </c>
    </row>
    <row r="36" spans="1:15" s="611" customFormat="1" ht="15.75" customHeight="1">
      <c r="A36" s="400" t="s">
        <v>726</v>
      </c>
      <c r="B36" s="612" t="s">
        <v>727</v>
      </c>
      <c r="C36" s="400">
        <v>6000000</v>
      </c>
      <c r="D36" s="614">
        <v>44581</v>
      </c>
      <c r="E36" s="614">
        <v>44884</v>
      </c>
      <c r="F36" s="613" t="s">
        <v>562</v>
      </c>
      <c r="G36" s="612" t="s">
        <v>728</v>
      </c>
      <c r="H36" s="612" t="s">
        <v>660</v>
      </c>
      <c r="I36" s="400" t="s">
        <v>565</v>
      </c>
      <c r="J36" s="400" t="s">
        <v>729</v>
      </c>
      <c r="K36" s="400" t="s">
        <v>730</v>
      </c>
      <c r="L36" s="612" t="s">
        <v>632</v>
      </c>
      <c r="M36" s="400" t="s">
        <v>731</v>
      </c>
      <c r="N36" s="400">
        <v>2170711</v>
      </c>
      <c r="O36" s="400">
        <v>1046</v>
      </c>
    </row>
    <row r="37" spans="1:15" s="611" customFormat="1" ht="15.75" customHeight="1">
      <c r="A37" s="400" t="s">
        <v>732</v>
      </c>
      <c r="B37" s="612" t="s">
        <v>733</v>
      </c>
      <c r="C37" s="400">
        <v>6200000</v>
      </c>
      <c r="D37" s="614">
        <v>44581</v>
      </c>
      <c r="E37" s="614">
        <v>44792</v>
      </c>
      <c r="F37" s="613" t="s">
        <v>562</v>
      </c>
      <c r="G37" s="612" t="s">
        <v>734</v>
      </c>
      <c r="H37" s="612" t="s">
        <v>573</v>
      </c>
      <c r="I37" s="400" t="s">
        <v>565</v>
      </c>
      <c r="J37" s="400" t="s">
        <v>735</v>
      </c>
      <c r="K37" s="400" t="s">
        <v>736</v>
      </c>
      <c r="L37" s="612" t="s">
        <v>632</v>
      </c>
      <c r="M37" s="400" t="s">
        <v>737</v>
      </c>
      <c r="N37" s="400">
        <v>2170711</v>
      </c>
      <c r="O37" s="400">
        <v>1046</v>
      </c>
    </row>
    <row r="38" spans="1:15" s="611" customFormat="1" ht="15.75" customHeight="1">
      <c r="A38" s="400" t="s">
        <v>738</v>
      </c>
      <c r="B38" s="612" t="s">
        <v>739</v>
      </c>
      <c r="C38" s="400">
        <v>7950000</v>
      </c>
      <c r="D38" s="614">
        <v>44581</v>
      </c>
      <c r="E38" s="614">
        <v>44823</v>
      </c>
      <c r="F38" s="613" t="s">
        <v>562</v>
      </c>
      <c r="G38" s="612" t="s">
        <v>740</v>
      </c>
      <c r="H38" s="612" t="s">
        <v>564</v>
      </c>
      <c r="I38" s="400" t="s">
        <v>565</v>
      </c>
      <c r="J38" s="400" t="s">
        <v>584</v>
      </c>
      <c r="K38" s="400" t="s">
        <v>585</v>
      </c>
      <c r="L38" s="612" t="s">
        <v>362</v>
      </c>
      <c r="M38" s="400" t="s">
        <v>741</v>
      </c>
      <c r="N38" s="400">
        <v>2170711</v>
      </c>
      <c r="O38" s="400">
        <v>1005</v>
      </c>
    </row>
    <row r="39" spans="1:15" s="611" customFormat="1" ht="15.75" customHeight="1">
      <c r="A39" s="400" t="s">
        <v>742</v>
      </c>
      <c r="B39" s="612" t="s">
        <v>743</v>
      </c>
      <c r="C39" s="400">
        <v>4400000</v>
      </c>
      <c r="D39" s="614">
        <v>44581</v>
      </c>
      <c r="E39" s="614">
        <v>44761</v>
      </c>
      <c r="F39" s="613" t="s">
        <v>562</v>
      </c>
      <c r="G39" s="612" t="s">
        <v>744</v>
      </c>
      <c r="H39" s="612" t="s">
        <v>745</v>
      </c>
      <c r="I39" s="400" t="s">
        <v>565</v>
      </c>
      <c r="J39" s="400" t="s">
        <v>584</v>
      </c>
      <c r="K39" s="400" t="s">
        <v>585</v>
      </c>
      <c r="L39" s="612" t="s">
        <v>643</v>
      </c>
      <c r="M39" s="400" t="s">
        <v>746</v>
      </c>
      <c r="N39" s="400">
        <v>2170711</v>
      </c>
      <c r="O39" s="400">
        <v>1008</v>
      </c>
    </row>
    <row r="40" spans="1:15" s="611" customFormat="1" ht="15.75" customHeight="1">
      <c r="A40" s="400" t="s">
        <v>747</v>
      </c>
      <c r="B40" s="612" t="s">
        <v>748</v>
      </c>
      <c r="C40" s="400">
        <v>6500000</v>
      </c>
      <c r="D40" s="614">
        <v>44581</v>
      </c>
      <c r="E40" s="614">
        <v>44884</v>
      </c>
      <c r="F40" s="613" t="s">
        <v>562</v>
      </c>
      <c r="G40" s="612" t="s">
        <v>749</v>
      </c>
      <c r="H40" s="612" t="s">
        <v>750</v>
      </c>
      <c r="I40" s="400" t="s">
        <v>565</v>
      </c>
      <c r="J40" s="400" t="s">
        <v>584</v>
      </c>
      <c r="K40" s="400" t="s">
        <v>585</v>
      </c>
      <c r="L40" s="612" t="s">
        <v>632</v>
      </c>
      <c r="M40" s="400" t="s">
        <v>751</v>
      </c>
      <c r="N40" s="400">
        <v>2170711</v>
      </c>
      <c r="O40" s="400">
        <v>1002</v>
      </c>
    </row>
    <row r="41" spans="1:15" s="611" customFormat="1" ht="15.75" customHeight="1">
      <c r="A41" s="400" t="s">
        <v>752</v>
      </c>
      <c r="B41" s="612" t="s">
        <v>753</v>
      </c>
      <c r="C41" s="400">
        <v>2800000</v>
      </c>
      <c r="D41" s="614">
        <v>44581</v>
      </c>
      <c r="E41" s="614">
        <v>44761</v>
      </c>
      <c r="F41" s="613" t="s">
        <v>562</v>
      </c>
      <c r="G41" s="612" t="s">
        <v>477</v>
      </c>
      <c r="H41" s="612" t="s">
        <v>616</v>
      </c>
      <c r="I41" s="400" t="s">
        <v>565</v>
      </c>
      <c r="J41" s="400" t="s">
        <v>754</v>
      </c>
      <c r="K41" s="400" t="s">
        <v>755</v>
      </c>
      <c r="L41" s="612" t="s">
        <v>568</v>
      </c>
      <c r="M41" s="400" t="s">
        <v>756</v>
      </c>
      <c r="N41" s="400">
        <v>2170711</v>
      </c>
      <c r="O41" s="400">
        <v>1029</v>
      </c>
    </row>
    <row r="42" spans="1:15" s="611" customFormat="1" ht="15.75" customHeight="1">
      <c r="A42" s="400" t="s">
        <v>757</v>
      </c>
      <c r="B42" s="612" t="s">
        <v>758</v>
      </c>
      <c r="C42" s="400">
        <v>6000000</v>
      </c>
      <c r="D42" s="614">
        <v>44581</v>
      </c>
      <c r="E42" s="614">
        <v>44884</v>
      </c>
      <c r="F42" s="613" t="s">
        <v>562</v>
      </c>
      <c r="G42" s="612" t="s">
        <v>759</v>
      </c>
      <c r="H42" s="612" t="s">
        <v>688</v>
      </c>
      <c r="I42" s="400" t="s">
        <v>565</v>
      </c>
      <c r="J42" s="400" t="s">
        <v>760</v>
      </c>
      <c r="K42" s="400" t="s">
        <v>761</v>
      </c>
      <c r="L42" s="612" t="s">
        <v>632</v>
      </c>
      <c r="M42" s="400" t="s">
        <v>762</v>
      </c>
      <c r="N42" s="400">
        <v>2170711</v>
      </c>
      <c r="O42" s="400">
        <v>1046</v>
      </c>
    </row>
    <row r="43" spans="1:15" s="611" customFormat="1" ht="15.75" customHeight="1">
      <c r="A43" s="400" t="s">
        <v>763</v>
      </c>
      <c r="B43" s="612" t="s">
        <v>764</v>
      </c>
      <c r="C43" s="400">
        <v>3900000</v>
      </c>
      <c r="D43" s="614">
        <v>44581</v>
      </c>
      <c r="E43" s="614">
        <v>44823</v>
      </c>
      <c r="F43" s="613" t="s">
        <v>562</v>
      </c>
      <c r="G43" s="612" t="s">
        <v>759</v>
      </c>
      <c r="H43" s="612" t="s">
        <v>589</v>
      </c>
      <c r="I43" s="400" t="s">
        <v>565</v>
      </c>
      <c r="J43" s="400" t="s">
        <v>584</v>
      </c>
      <c r="K43" s="400" t="s">
        <v>585</v>
      </c>
      <c r="L43" s="612" t="s">
        <v>362</v>
      </c>
      <c r="M43" s="400" t="s">
        <v>765</v>
      </c>
      <c r="N43" s="400">
        <v>2170711</v>
      </c>
      <c r="O43" s="400">
        <v>1005</v>
      </c>
    </row>
    <row r="44" spans="1:15" s="611" customFormat="1" ht="15.75" customHeight="1">
      <c r="A44" s="400" t="s">
        <v>766</v>
      </c>
      <c r="B44" s="612" t="s">
        <v>767</v>
      </c>
      <c r="C44" s="400">
        <v>4000000</v>
      </c>
      <c r="D44" s="614">
        <v>44582</v>
      </c>
      <c r="E44" s="614">
        <v>44885</v>
      </c>
      <c r="F44" s="613" t="s">
        <v>562</v>
      </c>
      <c r="G44" s="612" t="s">
        <v>768</v>
      </c>
      <c r="H44" s="612" t="s">
        <v>769</v>
      </c>
      <c r="I44" s="400" t="s">
        <v>565</v>
      </c>
      <c r="J44" s="400" t="s">
        <v>770</v>
      </c>
      <c r="K44" s="400" t="s">
        <v>771</v>
      </c>
      <c r="L44" s="612" t="s">
        <v>632</v>
      </c>
      <c r="M44" s="400" t="s">
        <v>772</v>
      </c>
      <c r="N44" s="400">
        <v>2170711</v>
      </c>
      <c r="O44" s="400">
        <v>1046</v>
      </c>
    </row>
    <row r="45" spans="1:15" s="611" customFormat="1" ht="15.75" customHeight="1">
      <c r="A45" s="400" t="s">
        <v>773</v>
      </c>
      <c r="B45" s="612" t="s">
        <v>774</v>
      </c>
      <c r="C45" s="400">
        <v>4400000</v>
      </c>
      <c r="D45" s="614">
        <v>44581</v>
      </c>
      <c r="E45" s="614">
        <v>44761</v>
      </c>
      <c r="F45" s="613" t="s">
        <v>562</v>
      </c>
      <c r="G45" s="612" t="s">
        <v>775</v>
      </c>
      <c r="H45" s="612" t="s">
        <v>776</v>
      </c>
      <c r="I45" s="400" t="s">
        <v>565</v>
      </c>
      <c r="J45" s="400" t="s">
        <v>584</v>
      </c>
      <c r="K45" s="400" t="s">
        <v>585</v>
      </c>
      <c r="L45" s="612" t="s">
        <v>643</v>
      </c>
      <c r="M45" s="400" t="s">
        <v>777</v>
      </c>
      <c r="N45" s="400">
        <v>2170711</v>
      </c>
      <c r="O45" s="400">
        <v>1008</v>
      </c>
    </row>
    <row r="46" spans="1:15" s="611" customFormat="1" ht="15.75" customHeight="1">
      <c r="A46" s="400" t="s">
        <v>778</v>
      </c>
      <c r="B46" s="612" t="s">
        <v>779</v>
      </c>
      <c r="C46" s="400">
        <v>5900000</v>
      </c>
      <c r="D46" s="614">
        <v>44586</v>
      </c>
      <c r="E46" s="614">
        <v>44889</v>
      </c>
      <c r="F46" s="613" t="s">
        <v>562</v>
      </c>
      <c r="G46" s="612" t="s">
        <v>780</v>
      </c>
      <c r="H46" s="612" t="s">
        <v>573</v>
      </c>
      <c r="I46" s="400" t="s">
        <v>565</v>
      </c>
      <c r="J46" s="400" t="s">
        <v>584</v>
      </c>
      <c r="K46" s="400" t="s">
        <v>585</v>
      </c>
      <c r="L46" s="612" t="s">
        <v>643</v>
      </c>
      <c r="M46" s="400" t="s">
        <v>781</v>
      </c>
      <c r="N46" s="400">
        <v>2170711</v>
      </c>
      <c r="O46" s="400">
        <v>1008</v>
      </c>
    </row>
    <row r="47" spans="1:15" s="611" customFormat="1" ht="15.75" customHeight="1">
      <c r="A47" s="400" t="s">
        <v>782</v>
      </c>
      <c r="B47" s="612" t="s">
        <v>783</v>
      </c>
      <c r="C47" s="400">
        <v>7000000</v>
      </c>
      <c r="D47" s="614">
        <v>44581</v>
      </c>
      <c r="E47" s="614">
        <v>44884</v>
      </c>
      <c r="F47" s="613" t="s">
        <v>562</v>
      </c>
      <c r="G47" s="612" t="s">
        <v>784</v>
      </c>
      <c r="H47" s="612" t="s">
        <v>722</v>
      </c>
      <c r="I47" s="400" t="s">
        <v>565</v>
      </c>
      <c r="J47" s="400" t="s">
        <v>760</v>
      </c>
      <c r="K47" s="400" t="s">
        <v>761</v>
      </c>
      <c r="L47" s="612" t="s">
        <v>632</v>
      </c>
      <c r="M47" s="400" t="s">
        <v>785</v>
      </c>
      <c r="N47" s="400">
        <v>2170711</v>
      </c>
      <c r="O47" s="400">
        <v>1046</v>
      </c>
    </row>
    <row r="48" spans="1:15" s="611" customFormat="1" ht="15.75" customHeight="1">
      <c r="A48" s="400" t="s">
        <v>786</v>
      </c>
      <c r="B48" s="612" t="s">
        <v>787</v>
      </c>
      <c r="C48" s="400">
        <v>8000000</v>
      </c>
      <c r="D48" s="614">
        <v>44580</v>
      </c>
      <c r="E48" s="614">
        <v>44880</v>
      </c>
      <c r="F48" s="613" t="s">
        <v>562</v>
      </c>
      <c r="G48" s="612" t="s">
        <v>788</v>
      </c>
      <c r="H48" s="612" t="s">
        <v>578</v>
      </c>
      <c r="I48" s="400" t="s">
        <v>565</v>
      </c>
      <c r="J48" s="400" t="s">
        <v>584</v>
      </c>
      <c r="K48" s="400" t="s">
        <v>585</v>
      </c>
      <c r="L48" s="612" t="s">
        <v>632</v>
      </c>
      <c r="M48" s="400" t="s">
        <v>789</v>
      </c>
      <c r="N48" s="400">
        <v>2170711</v>
      </c>
      <c r="O48" s="400">
        <v>1046</v>
      </c>
    </row>
    <row r="49" spans="1:15" s="611" customFormat="1" ht="15.75" customHeight="1">
      <c r="A49" s="400" t="s">
        <v>790</v>
      </c>
      <c r="B49" s="612" t="s">
        <v>791</v>
      </c>
      <c r="C49" s="400">
        <v>6300000</v>
      </c>
      <c r="D49" s="614">
        <v>44580</v>
      </c>
      <c r="E49" s="614">
        <v>44790</v>
      </c>
      <c r="F49" s="613" t="s">
        <v>562</v>
      </c>
      <c r="G49" s="612" t="s">
        <v>792</v>
      </c>
      <c r="H49" s="612"/>
      <c r="I49" s="400" t="s">
        <v>565</v>
      </c>
      <c r="J49" s="400" t="s">
        <v>584</v>
      </c>
      <c r="K49" s="400" t="s">
        <v>585</v>
      </c>
      <c r="L49" s="612" t="s">
        <v>315</v>
      </c>
      <c r="M49" s="400" t="s">
        <v>793</v>
      </c>
      <c r="N49" s="400">
        <v>2170711</v>
      </c>
      <c r="O49" s="400">
        <v>1054</v>
      </c>
    </row>
    <row r="50" spans="1:15" s="611" customFormat="1" ht="15.75" customHeight="1">
      <c r="A50" s="400" t="s">
        <v>794</v>
      </c>
      <c r="B50" s="612" t="s">
        <v>795</v>
      </c>
      <c r="C50" s="400">
        <v>6000000</v>
      </c>
      <c r="D50" s="614">
        <v>44581</v>
      </c>
      <c r="E50" s="614">
        <v>44821</v>
      </c>
      <c r="F50" s="613" t="s">
        <v>562</v>
      </c>
      <c r="G50" s="612" t="s">
        <v>796</v>
      </c>
      <c r="H50" s="612" t="s">
        <v>797</v>
      </c>
      <c r="I50" s="400" t="s">
        <v>565</v>
      </c>
      <c r="J50" s="400" t="s">
        <v>584</v>
      </c>
      <c r="K50" s="400" t="s">
        <v>585</v>
      </c>
      <c r="L50" s="612" t="s">
        <v>798</v>
      </c>
      <c r="M50" s="400" t="s">
        <v>799</v>
      </c>
      <c r="N50" s="400">
        <v>2170711</v>
      </c>
      <c r="O50" s="400">
        <v>1018</v>
      </c>
    </row>
    <row r="51" spans="1:15" s="611" customFormat="1" ht="15.75" customHeight="1">
      <c r="A51" s="400" t="s">
        <v>800</v>
      </c>
      <c r="B51" s="612" t="s">
        <v>801</v>
      </c>
      <c r="C51" s="400">
        <v>6000000</v>
      </c>
      <c r="D51" s="614">
        <v>44582</v>
      </c>
      <c r="E51" s="614">
        <v>44792</v>
      </c>
      <c r="F51" s="613" t="s">
        <v>562</v>
      </c>
      <c r="G51" s="612" t="s">
        <v>802</v>
      </c>
      <c r="H51" s="612" t="s">
        <v>660</v>
      </c>
      <c r="I51" s="400" t="s">
        <v>565</v>
      </c>
      <c r="J51" s="400" t="s">
        <v>760</v>
      </c>
      <c r="K51" s="400" t="s">
        <v>761</v>
      </c>
      <c r="L51" s="612" t="s">
        <v>632</v>
      </c>
      <c r="M51" s="400" t="s">
        <v>803</v>
      </c>
      <c r="N51" s="400">
        <v>2170711</v>
      </c>
      <c r="O51" s="400">
        <v>1046</v>
      </c>
    </row>
    <row r="52" spans="1:15" s="611" customFormat="1" ht="15.75" customHeight="1">
      <c r="A52" s="400" t="s">
        <v>804</v>
      </c>
      <c r="B52" s="612" t="s">
        <v>805</v>
      </c>
      <c r="C52" s="400">
        <v>3100000</v>
      </c>
      <c r="D52" s="614">
        <v>44582</v>
      </c>
      <c r="E52" s="614">
        <v>44882</v>
      </c>
      <c r="F52" s="613" t="s">
        <v>562</v>
      </c>
      <c r="G52" s="612" t="s">
        <v>806</v>
      </c>
      <c r="H52" s="612"/>
      <c r="I52" s="400" t="s">
        <v>565</v>
      </c>
      <c r="J52" s="400" t="s">
        <v>584</v>
      </c>
      <c r="K52" s="400" t="s">
        <v>585</v>
      </c>
      <c r="L52" s="612" t="s">
        <v>632</v>
      </c>
      <c r="M52" s="400" t="s">
        <v>807</v>
      </c>
      <c r="N52" s="400">
        <v>2170711</v>
      </c>
      <c r="O52" s="400">
        <v>1046</v>
      </c>
    </row>
    <row r="53" spans="1:15" s="611" customFormat="1" ht="15.75" customHeight="1">
      <c r="A53" s="400" t="s">
        <v>808</v>
      </c>
      <c r="B53" s="612" t="s">
        <v>809</v>
      </c>
      <c r="C53" s="400">
        <v>6100000</v>
      </c>
      <c r="D53" s="614">
        <v>44581</v>
      </c>
      <c r="E53" s="614">
        <v>44881</v>
      </c>
      <c r="F53" s="613" t="s">
        <v>562</v>
      </c>
      <c r="G53" s="612" t="s">
        <v>672</v>
      </c>
      <c r="H53" s="612" t="s">
        <v>660</v>
      </c>
      <c r="I53" s="400" t="s">
        <v>565</v>
      </c>
      <c r="J53" s="400" t="s">
        <v>584</v>
      </c>
      <c r="K53" s="400" t="s">
        <v>585</v>
      </c>
      <c r="L53" s="612" t="s">
        <v>643</v>
      </c>
      <c r="M53" s="400" t="s">
        <v>810</v>
      </c>
      <c r="N53" s="400">
        <v>2170711</v>
      </c>
      <c r="O53" s="400">
        <v>1011</v>
      </c>
    </row>
    <row r="54" spans="1:15" s="611" customFormat="1" ht="15.75" customHeight="1">
      <c r="A54" s="400" t="s">
        <v>811</v>
      </c>
      <c r="B54" s="612" t="s">
        <v>812</v>
      </c>
      <c r="C54" s="400">
        <v>4500000</v>
      </c>
      <c r="D54" s="614">
        <v>44582</v>
      </c>
      <c r="E54" s="614">
        <v>44822</v>
      </c>
      <c r="F54" s="613" t="s">
        <v>562</v>
      </c>
      <c r="G54" s="612" t="s">
        <v>813</v>
      </c>
      <c r="H54" s="612" t="s">
        <v>814</v>
      </c>
      <c r="I54" s="400" t="s">
        <v>565</v>
      </c>
      <c r="J54" s="400" t="s">
        <v>584</v>
      </c>
      <c r="K54" s="400" t="s">
        <v>585</v>
      </c>
      <c r="L54" s="612" t="s">
        <v>643</v>
      </c>
      <c r="M54" s="400" t="s">
        <v>815</v>
      </c>
      <c r="N54" s="400">
        <v>2170711</v>
      </c>
      <c r="O54" s="400">
        <v>1008</v>
      </c>
    </row>
    <row r="55" spans="1:15" s="611" customFormat="1" ht="15.75" customHeight="1">
      <c r="A55" s="400" t="s">
        <v>816</v>
      </c>
      <c r="B55" s="612" t="s">
        <v>817</v>
      </c>
      <c r="C55" s="400">
        <v>6000000</v>
      </c>
      <c r="D55" s="614">
        <v>44581</v>
      </c>
      <c r="E55" s="614">
        <v>44791</v>
      </c>
      <c r="F55" s="613" t="s">
        <v>562</v>
      </c>
      <c r="G55" s="612" t="s">
        <v>818</v>
      </c>
      <c r="H55" s="612"/>
      <c r="I55" s="400" t="s">
        <v>565</v>
      </c>
      <c r="J55" s="400" t="s">
        <v>584</v>
      </c>
      <c r="K55" s="400" t="s">
        <v>585</v>
      </c>
      <c r="L55" s="612" t="s">
        <v>632</v>
      </c>
      <c r="M55" s="400" t="s">
        <v>819</v>
      </c>
      <c r="N55" s="400">
        <v>2170711</v>
      </c>
      <c r="O55" s="400">
        <v>1046</v>
      </c>
    </row>
    <row r="56" spans="1:15" s="611" customFormat="1" ht="15.75" customHeight="1">
      <c r="A56" s="400" t="s">
        <v>820</v>
      </c>
      <c r="B56" s="612" t="s">
        <v>821</v>
      </c>
      <c r="C56" s="400">
        <v>2000000</v>
      </c>
      <c r="D56" s="614">
        <v>44582</v>
      </c>
      <c r="E56" s="614">
        <v>44852</v>
      </c>
      <c r="F56" s="613" t="s">
        <v>562</v>
      </c>
      <c r="G56" s="612" t="s">
        <v>822</v>
      </c>
      <c r="H56" s="612"/>
      <c r="I56" s="400" t="s">
        <v>565</v>
      </c>
      <c r="J56" s="400" t="s">
        <v>584</v>
      </c>
      <c r="K56" s="400" t="s">
        <v>585</v>
      </c>
      <c r="L56" s="612" t="s">
        <v>637</v>
      </c>
      <c r="M56" s="400" t="s">
        <v>823</v>
      </c>
      <c r="N56" s="400">
        <v>2170711</v>
      </c>
      <c r="O56" s="400">
        <v>1061</v>
      </c>
    </row>
    <row r="57" spans="1:15" s="611" customFormat="1" ht="15.75" customHeight="1">
      <c r="A57" s="400" t="s">
        <v>824</v>
      </c>
      <c r="B57" s="612" t="s">
        <v>825</v>
      </c>
      <c r="C57" s="400">
        <v>6000000</v>
      </c>
      <c r="D57" s="614">
        <v>44581</v>
      </c>
      <c r="E57" s="614">
        <v>44791</v>
      </c>
      <c r="F57" s="613" t="s">
        <v>562</v>
      </c>
      <c r="G57" s="612" t="s">
        <v>826</v>
      </c>
      <c r="H57" s="612"/>
      <c r="I57" s="400" t="s">
        <v>565</v>
      </c>
      <c r="J57" s="400" t="s">
        <v>584</v>
      </c>
      <c r="K57" s="400" t="s">
        <v>585</v>
      </c>
      <c r="L57" s="612" t="s">
        <v>632</v>
      </c>
      <c r="M57" s="400" t="s">
        <v>827</v>
      </c>
      <c r="N57" s="400">
        <v>2170711</v>
      </c>
      <c r="O57" s="400">
        <v>1046</v>
      </c>
    </row>
    <row r="58" spans="1:15" s="611" customFormat="1" ht="15.75" customHeight="1">
      <c r="A58" s="400" t="s">
        <v>828</v>
      </c>
      <c r="B58" s="612" t="s">
        <v>829</v>
      </c>
      <c r="C58" s="400">
        <v>4000000</v>
      </c>
      <c r="D58" s="614">
        <v>44581</v>
      </c>
      <c r="E58" s="614">
        <v>44881</v>
      </c>
      <c r="F58" s="613" t="s">
        <v>562</v>
      </c>
      <c r="G58" s="612" t="s">
        <v>830</v>
      </c>
      <c r="H58" s="612" t="s">
        <v>831</v>
      </c>
      <c r="I58" s="400" t="s">
        <v>565</v>
      </c>
      <c r="J58" s="400" t="s">
        <v>584</v>
      </c>
      <c r="K58" s="400" t="s">
        <v>585</v>
      </c>
      <c r="L58" s="612" t="s">
        <v>632</v>
      </c>
      <c r="M58" s="400" t="s">
        <v>832</v>
      </c>
      <c r="N58" s="400">
        <v>2170711</v>
      </c>
      <c r="O58" s="400">
        <v>1046</v>
      </c>
    </row>
    <row r="59" spans="1:15" s="611" customFormat="1" ht="15.75" customHeight="1">
      <c r="A59" s="400" t="s">
        <v>833</v>
      </c>
      <c r="B59" s="612" t="s">
        <v>834</v>
      </c>
      <c r="C59" s="400">
        <v>1104480</v>
      </c>
      <c r="D59" s="614">
        <v>44581</v>
      </c>
      <c r="E59" s="614">
        <v>44881</v>
      </c>
      <c r="F59" s="613" t="s">
        <v>562</v>
      </c>
      <c r="G59" s="612" t="s">
        <v>477</v>
      </c>
      <c r="H59" s="612" t="s">
        <v>835</v>
      </c>
      <c r="I59" s="400" t="s">
        <v>565</v>
      </c>
      <c r="J59" s="400" t="s">
        <v>836</v>
      </c>
      <c r="K59" s="400" t="s">
        <v>837</v>
      </c>
      <c r="L59" s="612" t="s">
        <v>643</v>
      </c>
      <c r="M59" s="400" t="s">
        <v>838</v>
      </c>
      <c r="N59" s="400">
        <v>2170711</v>
      </c>
      <c r="O59" s="400">
        <v>1008</v>
      </c>
    </row>
    <row r="60" spans="1:15" s="611" customFormat="1" ht="15.75" customHeight="1">
      <c r="A60" s="400" t="s">
        <v>839</v>
      </c>
      <c r="B60" s="612" t="s">
        <v>840</v>
      </c>
      <c r="C60" s="400">
        <v>5350000</v>
      </c>
      <c r="D60" s="614">
        <v>44582</v>
      </c>
      <c r="E60" s="614">
        <v>44762</v>
      </c>
      <c r="F60" s="613" t="s">
        <v>562</v>
      </c>
      <c r="G60" s="612" t="s">
        <v>841</v>
      </c>
      <c r="H60" s="612" t="s">
        <v>814</v>
      </c>
      <c r="I60" s="400" t="s">
        <v>565</v>
      </c>
      <c r="J60" s="400" t="s">
        <v>584</v>
      </c>
      <c r="K60" s="400" t="s">
        <v>585</v>
      </c>
      <c r="L60" s="612" t="s">
        <v>362</v>
      </c>
      <c r="M60" s="400" t="s">
        <v>842</v>
      </c>
      <c r="N60" s="400">
        <v>2170711</v>
      </c>
      <c r="O60" s="400">
        <v>1005</v>
      </c>
    </row>
    <row r="61" spans="1:15" s="611" customFormat="1" ht="15.75" customHeight="1">
      <c r="A61" s="400" t="s">
        <v>843</v>
      </c>
      <c r="B61" s="612" t="s">
        <v>844</v>
      </c>
      <c r="C61" s="400">
        <v>6000000</v>
      </c>
      <c r="D61" s="614">
        <v>44581</v>
      </c>
      <c r="E61" s="614">
        <v>44881</v>
      </c>
      <c r="F61" s="613" t="s">
        <v>562</v>
      </c>
      <c r="G61" s="612" t="s">
        <v>845</v>
      </c>
      <c r="H61" s="612"/>
      <c r="I61" s="400" t="s">
        <v>565</v>
      </c>
      <c r="J61" s="400" t="s">
        <v>584</v>
      </c>
      <c r="K61" s="400" t="s">
        <v>585</v>
      </c>
      <c r="L61" s="612" t="s">
        <v>632</v>
      </c>
      <c r="M61" s="400" t="s">
        <v>846</v>
      </c>
      <c r="N61" s="400">
        <v>2170711</v>
      </c>
      <c r="O61" s="400">
        <v>1046</v>
      </c>
    </row>
    <row r="62" spans="1:15" s="611" customFormat="1" ht="15.75" customHeight="1">
      <c r="A62" s="400" t="s">
        <v>847</v>
      </c>
      <c r="B62" s="612" t="s">
        <v>848</v>
      </c>
      <c r="C62" s="400">
        <v>4300000</v>
      </c>
      <c r="D62" s="614">
        <v>44581</v>
      </c>
      <c r="E62" s="614">
        <v>44851</v>
      </c>
      <c r="F62" s="613" t="s">
        <v>562</v>
      </c>
      <c r="G62" s="612" t="s">
        <v>849</v>
      </c>
      <c r="H62" s="612" t="s">
        <v>850</v>
      </c>
      <c r="I62" s="400" t="s">
        <v>565</v>
      </c>
      <c r="J62" s="400" t="s">
        <v>584</v>
      </c>
      <c r="K62" s="400" t="s">
        <v>585</v>
      </c>
      <c r="L62" s="612" t="s">
        <v>637</v>
      </c>
      <c r="M62" s="400" t="s">
        <v>851</v>
      </c>
      <c r="N62" s="400">
        <v>2170711</v>
      </c>
      <c r="O62" s="400">
        <v>1061</v>
      </c>
    </row>
    <row r="63" spans="1:15" s="611" customFormat="1" ht="15.75" customHeight="1">
      <c r="A63" s="400" t="s">
        <v>852</v>
      </c>
      <c r="B63" s="612" t="s">
        <v>853</v>
      </c>
      <c r="C63" s="400">
        <v>5050000</v>
      </c>
      <c r="D63" s="614">
        <v>44581</v>
      </c>
      <c r="E63" s="614">
        <v>44851</v>
      </c>
      <c r="F63" s="613" t="s">
        <v>562</v>
      </c>
      <c r="G63" s="612" t="s">
        <v>854</v>
      </c>
      <c r="H63" s="612" t="s">
        <v>598</v>
      </c>
      <c r="I63" s="400" t="s">
        <v>565</v>
      </c>
      <c r="J63" s="400" t="s">
        <v>584</v>
      </c>
      <c r="K63" s="400" t="s">
        <v>585</v>
      </c>
      <c r="L63" s="612" t="s">
        <v>637</v>
      </c>
      <c r="M63" s="400" t="s">
        <v>855</v>
      </c>
      <c r="N63" s="400">
        <v>2170711</v>
      </c>
      <c r="O63" s="400">
        <v>1061</v>
      </c>
    </row>
    <row r="64" spans="1:15" s="611" customFormat="1" ht="15.75" customHeight="1">
      <c r="A64" s="400" t="s">
        <v>856</v>
      </c>
      <c r="B64" s="612" t="s">
        <v>857</v>
      </c>
      <c r="C64" s="400">
        <v>6000000</v>
      </c>
      <c r="D64" s="614">
        <v>44582</v>
      </c>
      <c r="E64" s="614">
        <v>44885</v>
      </c>
      <c r="F64" s="613" t="s">
        <v>562</v>
      </c>
      <c r="G64" s="612" t="s">
        <v>858</v>
      </c>
      <c r="H64" s="612" t="s">
        <v>859</v>
      </c>
      <c r="I64" s="400" t="s">
        <v>565</v>
      </c>
      <c r="J64" s="400" t="s">
        <v>584</v>
      </c>
      <c r="K64" s="400" t="s">
        <v>585</v>
      </c>
      <c r="L64" s="612" t="s">
        <v>632</v>
      </c>
      <c r="M64" s="400" t="s">
        <v>860</v>
      </c>
      <c r="N64" s="400">
        <v>2170711</v>
      </c>
      <c r="O64" s="400">
        <v>1046</v>
      </c>
    </row>
    <row r="65" spans="1:15" s="611" customFormat="1" ht="15.75" customHeight="1">
      <c r="A65" s="400" t="s">
        <v>861</v>
      </c>
      <c r="B65" s="612" t="s">
        <v>862</v>
      </c>
      <c r="C65" s="400">
        <v>6000000</v>
      </c>
      <c r="D65" s="614">
        <v>44581</v>
      </c>
      <c r="E65" s="614">
        <v>44884</v>
      </c>
      <c r="F65" s="613" t="s">
        <v>562</v>
      </c>
      <c r="G65" s="612" t="s">
        <v>863</v>
      </c>
      <c r="H65" s="612" t="s">
        <v>589</v>
      </c>
      <c r="I65" s="400" t="s">
        <v>565</v>
      </c>
      <c r="J65" s="400" t="s">
        <v>760</v>
      </c>
      <c r="K65" s="400" t="s">
        <v>761</v>
      </c>
      <c r="L65" s="612" t="s">
        <v>632</v>
      </c>
      <c r="M65" s="400" t="s">
        <v>864</v>
      </c>
      <c r="N65" s="400">
        <v>2170711</v>
      </c>
      <c r="O65" s="400">
        <v>1046</v>
      </c>
    </row>
    <row r="66" spans="1:15" s="611" customFormat="1" ht="15.75" customHeight="1">
      <c r="A66" s="400" t="s">
        <v>865</v>
      </c>
      <c r="B66" s="612" t="s">
        <v>866</v>
      </c>
      <c r="C66" s="400">
        <v>7000000</v>
      </c>
      <c r="D66" s="614">
        <v>44581</v>
      </c>
      <c r="E66" s="614">
        <v>44884</v>
      </c>
      <c r="F66" s="613" t="s">
        <v>562</v>
      </c>
      <c r="G66" s="612" t="s">
        <v>867</v>
      </c>
      <c r="H66" s="612" t="s">
        <v>583</v>
      </c>
      <c r="I66" s="400" t="s">
        <v>565</v>
      </c>
      <c r="J66" s="400" t="s">
        <v>584</v>
      </c>
      <c r="K66" s="400" t="s">
        <v>585</v>
      </c>
      <c r="L66" s="612" t="s">
        <v>632</v>
      </c>
      <c r="M66" s="400" t="s">
        <v>868</v>
      </c>
      <c r="N66" s="400">
        <v>2170711</v>
      </c>
      <c r="O66" s="400">
        <v>1046</v>
      </c>
    </row>
    <row r="67" spans="1:15" s="611" customFormat="1" ht="15.75" customHeight="1">
      <c r="A67" s="400" t="s">
        <v>869</v>
      </c>
      <c r="B67" s="612" t="s">
        <v>870</v>
      </c>
      <c r="C67" s="400">
        <v>6500000</v>
      </c>
      <c r="D67" s="614">
        <v>44581</v>
      </c>
      <c r="E67" s="614">
        <v>44884</v>
      </c>
      <c r="F67" s="613" t="s">
        <v>562</v>
      </c>
      <c r="G67" s="612" t="s">
        <v>659</v>
      </c>
      <c r="H67" s="612"/>
      <c r="I67" s="400" t="s">
        <v>565</v>
      </c>
      <c r="J67" s="400" t="s">
        <v>584</v>
      </c>
      <c r="K67" s="400" t="s">
        <v>585</v>
      </c>
      <c r="L67" s="612" t="s">
        <v>632</v>
      </c>
      <c r="M67" s="400" t="s">
        <v>871</v>
      </c>
      <c r="N67" s="400">
        <v>2170711</v>
      </c>
      <c r="O67" s="400">
        <v>1046</v>
      </c>
    </row>
    <row r="68" spans="1:15" s="611" customFormat="1" ht="15.75" customHeight="1">
      <c r="A68" s="400" t="s">
        <v>872</v>
      </c>
      <c r="B68" s="612" t="s">
        <v>873</v>
      </c>
      <c r="C68" s="400">
        <v>2780000</v>
      </c>
      <c r="D68" s="614">
        <v>44582</v>
      </c>
      <c r="E68" s="614">
        <v>44852</v>
      </c>
      <c r="F68" s="613" t="s">
        <v>562</v>
      </c>
      <c r="G68" s="612" t="s">
        <v>659</v>
      </c>
      <c r="H68" s="612" t="s">
        <v>850</v>
      </c>
      <c r="I68" s="400" t="s">
        <v>565</v>
      </c>
      <c r="J68" s="400" t="s">
        <v>584</v>
      </c>
      <c r="K68" s="400" t="s">
        <v>585</v>
      </c>
      <c r="L68" s="612" t="s">
        <v>637</v>
      </c>
      <c r="M68" s="400" t="s">
        <v>874</v>
      </c>
      <c r="N68" s="400">
        <v>2170711</v>
      </c>
      <c r="O68" s="400">
        <v>1061</v>
      </c>
    </row>
    <row r="69" spans="1:15" s="611" customFormat="1" ht="15.75" customHeight="1">
      <c r="A69" s="400" t="s">
        <v>875</v>
      </c>
      <c r="B69" s="612" t="s">
        <v>876</v>
      </c>
      <c r="C69" s="400">
        <v>6200000</v>
      </c>
      <c r="D69" s="614">
        <v>44586</v>
      </c>
      <c r="E69" s="614">
        <v>44797</v>
      </c>
      <c r="F69" s="613" t="s">
        <v>562</v>
      </c>
      <c r="G69" s="612" t="s">
        <v>877</v>
      </c>
      <c r="H69" s="612" t="s">
        <v>573</v>
      </c>
      <c r="I69" s="400" t="s">
        <v>565</v>
      </c>
      <c r="J69" s="400" t="s">
        <v>584</v>
      </c>
      <c r="K69" s="400" t="s">
        <v>585</v>
      </c>
      <c r="L69" s="612" t="s">
        <v>632</v>
      </c>
      <c r="M69" s="400" t="s">
        <v>878</v>
      </c>
      <c r="N69" s="400">
        <v>2170711</v>
      </c>
      <c r="O69" s="400">
        <v>1046</v>
      </c>
    </row>
    <row r="70" spans="1:15" s="611" customFormat="1" ht="15.75" customHeight="1">
      <c r="A70" s="400" t="s">
        <v>879</v>
      </c>
      <c r="B70" s="612" t="s">
        <v>880</v>
      </c>
      <c r="C70" s="400">
        <v>5050000</v>
      </c>
      <c r="D70" s="614">
        <v>44586</v>
      </c>
      <c r="E70" s="614">
        <v>44858</v>
      </c>
      <c r="F70" s="613" t="s">
        <v>562</v>
      </c>
      <c r="G70" s="612" t="s">
        <v>881</v>
      </c>
      <c r="H70" s="612" t="s">
        <v>598</v>
      </c>
      <c r="I70" s="400" t="s">
        <v>565</v>
      </c>
      <c r="J70" s="400" t="s">
        <v>584</v>
      </c>
      <c r="K70" s="400" t="s">
        <v>585</v>
      </c>
      <c r="L70" s="612" t="s">
        <v>637</v>
      </c>
      <c r="M70" s="400" t="s">
        <v>882</v>
      </c>
      <c r="N70" s="400">
        <v>2170711</v>
      </c>
      <c r="O70" s="400">
        <v>1061</v>
      </c>
    </row>
    <row r="71" spans="1:15" s="611" customFormat="1" ht="15.75" customHeight="1">
      <c r="A71" s="400" t="s">
        <v>883</v>
      </c>
      <c r="B71" s="612" t="s">
        <v>821</v>
      </c>
      <c r="C71" s="400">
        <v>2666666.6666666665</v>
      </c>
      <c r="D71" s="614">
        <v>44582</v>
      </c>
      <c r="E71" s="614">
        <v>44762</v>
      </c>
      <c r="F71" s="613" t="s">
        <v>562</v>
      </c>
      <c r="G71" s="612" t="s">
        <v>477</v>
      </c>
      <c r="H71" s="612" t="s">
        <v>884</v>
      </c>
      <c r="I71" s="400" t="s">
        <v>565</v>
      </c>
      <c r="J71" s="400" t="s">
        <v>584</v>
      </c>
      <c r="K71" s="400" t="s">
        <v>585</v>
      </c>
      <c r="L71" s="612" t="s">
        <v>637</v>
      </c>
      <c r="M71" s="400" t="s">
        <v>885</v>
      </c>
      <c r="N71" s="400">
        <v>2170711</v>
      </c>
      <c r="O71" s="400">
        <v>1061</v>
      </c>
    </row>
    <row r="72" spans="1:15" s="611" customFormat="1" ht="15.75" customHeight="1">
      <c r="A72" s="400" t="s">
        <v>886</v>
      </c>
      <c r="B72" s="612" t="s">
        <v>887</v>
      </c>
      <c r="C72" s="400">
        <v>3000000</v>
      </c>
      <c r="D72" s="614">
        <v>44582</v>
      </c>
      <c r="E72" s="614">
        <v>44792</v>
      </c>
      <c r="F72" s="613" t="s">
        <v>562</v>
      </c>
      <c r="G72" s="612" t="s">
        <v>888</v>
      </c>
      <c r="H72" s="612" t="s">
        <v>889</v>
      </c>
      <c r="I72" s="400" t="s">
        <v>565</v>
      </c>
      <c r="J72" s="400" t="s">
        <v>584</v>
      </c>
      <c r="K72" s="400" t="s">
        <v>585</v>
      </c>
      <c r="L72" s="612" t="s">
        <v>362</v>
      </c>
      <c r="M72" s="400" t="s">
        <v>890</v>
      </c>
      <c r="N72" s="400">
        <v>2170711</v>
      </c>
      <c r="O72" s="400">
        <v>1005</v>
      </c>
    </row>
    <row r="73" spans="1:15" s="611" customFormat="1" ht="15.75" customHeight="1">
      <c r="A73" s="400" t="s">
        <v>891</v>
      </c>
      <c r="B73" s="612" t="s">
        <v>892</v>
      </c>
      <c r="C73" s="400">
        <v>2000000</v>
      </c>
      <c r="D73" s="614">
        <v>44582</v>
      </c>
      <c r="E73" s="614">
        <v>44852</v>
      </c>
      <c r="F73" s="613" t="s">
        <v>562</v>
      </c>
      <c r="G73" s="612" t="s">
        <v>477</v>
      </c>
      <c r="H73" s="612" t="s">
        <v>893</v>
      </c>
      <c r="I73" s="400" t="s">
        <v>565</v>
      </c>
      <c r="J73" s="400" t="s">
        <v>584</v>
      </c>
      <c r="K73" s="400" t="s">
        <v>585</v>
      </c>
      <c r="L73" s="612" t="s">
        <v>637</v>
      </c>
      <c r="M73" s="400" t="s">
        <v>894</v>
      </c>
      <c r="N73" s="400">
        <v>2170711</v>
      </c>
      <c r="O73" s="400">
        <v>1061</v>
      </c>
    </row>
    <row r="74" spans="1:15" s="611" customFormat="1" ht="15.75" customHeight="1">
      <c r="A74" s="400" t="s">
        <v>895</v>
      </c>
      <c r="B74" s="612" t="s">
        <v>896</v>
      </c>
      <c r="C74" s="400">
        <v>3200000</v>
      </c>
      <c r="D74" s="614">
        <v>44582</v>
      </c>
      <c r="E74" s="614">
        <v>44822</v>
      </c>
      <c r="F74" s="613" t="s">
        <v>562</v>
      </c>
      <c r="G74" s="612" t="s">
        <v>897</v>
      </c>
      <c r="H74" s="612" t="s">
        <v>898</v>
      </c>
      <c r="I74" s="400" t="s">
        <v>565</v>
      </c>
      <c r="J74" s="400" t="s">
        <v>899</v>
      </c>
      <c r="K74" s="400" t="s">
        <v>900</v>
      </c>
      <c r="L74" s="612" t="s">
        <v>362</v>
      </c>
      <c r="M74" s="400" t="s">
        <v>901</v>
      </c>
      <c r="N74" s="400">
        <v>2170711</v>
      </c>
      <c r="O74" s="400">
        <v>1005</v>
      </c>
    </row>
    <row r="75" spans="1:15" s="611" customFormat="1" ht="15.75" customHeight="1">
      <c r="A75" s="400" t="s">
        <v>902</v>
      </c>
      <c r="B75" s="612" t="s">
        <v>903</v>
      </c>
      <c r="C75" s="400">
        <v>3100000</v>
      </c>
      <c r="D75" s="614">
        <v>44582</v>
      </c>
      <c r="E75" s="614">
        <v>44852</v>
      </c>
      <c r="F75" s="613" t="s">
        <v>562</v>
      </c>
      <c r="G75" s="612" t="s">
        <v>904</v>
      </c>
      <c r="H75" s="612"/>
      <c r="I75" s="400" t="s">
        <v>565</v>
      </c>
      <c r="J75" s="400" t="s">
        <v>584</v>
      </c>
      <c r="K75" s="400" t="s">
        <v>585</v>
      </c>
      <c r="L75" s="612" t="s">
        <v>637</v>
      </c>
      <c r="M75" s="400" t="s">
        <v>905</v>
      </c>
      <c r="N75" s="400">
        <v>2170711</v>
      </c>
      <c r="O75" s="400">
        <v>1061</v>
      </c>
    </row>
    <row r="76" spans="1:15" s="611" customFormat="1" ht="15.75" customHeight="1">
      <c r="A76" s="400" t="s">
        <v>906</v>
      </c>
      <c r="B76" s="612" t="s">
        <v>907</v>
      </c>
      <c r="C76" s="400">
        <v>6000000</v>
      </c>
      <c r="D76" s="614">
        <v>44582</v>
      </c>
      <c r="E76" s="614">
        <v>44882</v>
      </c>
      <c r="F76" s="613" t="s">
        <v>562</v>
      </c>
      <c r="G76" s="612" t="s">
        <v>659</v>
      </c>
      <c r="H76" s="612" t="s">
        <v>908</v>
      </c>
      <c r="I76" s="400" t="s">
        <v>565</v>
      </c>
      <c r="J76" s="400" t="s">
        <v>584</v>
      </c>
      <c r="K76" s="400" t="s">
        <v>585</v>
      </c>
      <c r="L76" s="612" t="s">
        <v>632</v>
      </c>
      <c r="M76" s="400" t="s">
        <v>909</v>
      </c>
      <c r="N76" s="400">
        <v>2170711</v>
      </c>
      <c r="O76" s="400">
        <v>1046</v>
      </c>
    </row>
    <row r="77" spans="1:15" s="611" customFormat="1" ht="15.75" customHeight="1">
      <c r="A77" s="400" t="s">
        <v>910</v>
      </c>
      <c r="B77" s="612" t="s">
        <v>911</v>
      </c>
      <c r="C77" s="400">
        <v>4447000</v>
      </c>
      <c r="D77" s="614">
        <v>44582</v>
      </c>
      <c r="E77" s="614">
        <v>44882</v>
      </c>
      <c r="F77" s="613" t="s">
        <v>562</v>
      </c>
      <c r="G77" s="612" t="s">
        <v>912</v>
      </c>
      <c r="H77" s="612" t="s">
        <v>598</v>
      </c>
      <c r="I77" s="400" t="s">
        <v>565</v>
      </c>
      <c r="J77" s="400" t="s">
        <v>584</v>
      </c>
      <c r="K77" s="400" t="s">
        <v>913</v>
      </c>
      <c r="L77" s="612" t="s">
        <v>673</v>
      </c>
      <c r="M77" s="400" t="s">
        <v>914</v>
      </c>
      <c r="N77" s="400">
        <v>2170711</v>
      </c>
      <c r="O77" s="400">
        <v>1040</v>
      </c>
    </row>
    <row r="78" spans="1:15" s="611" customFormat="1" ht="15.75" customHeight="1">
      <c r="A78" s="400" t="s">
        <v>915</v>
      </c>
      <c r="B78" s="612" t="s">
        <v>892</v>
      </c>
      <c r="C78" s="400">
        <v>2000000</v>
      </c>
      <c r="D78" s="614">
        <v>44582</v>
      </c>
      <c r="E78" s="614">
        <v>44822</v>
      </c>
      <c r="F78" s="613" t="s">
        <v>562</v>
      </c>
      <c r="G78" s="612" t="s">
        <v>615</v>
      </c>
      <c r="H78" s="612" t="s">
        <v>916</v>
      </c>
      <c r="I78" s="400" t="s">
        <v>565</v>
      </c>
      <c r="J78" s="400" t="s">
        <v>899</v>
      </c>
      <c r="K78" s="400" t="s">
        <v>917</v>
      </c>
      <c r="L78" s="612" t="s">
        <v>637</v>
      </c>
      <c r="M78" s="400" t="s">
        <v>918</v>
      </c>
      <c r="N78" s="400">
        <v>2170711</v>
      </c>
      <c r="O78" s="400">
        <v>1061</v>
      </c>
    </row>
    <row r="79" spans="1:15" s="611" customFormat="1" ht="15.75" customHeight="1">
      <c r="A79" s="400" t="s">
        <v>919</v>
      </c>
      <c r="B79" s="612" t="s">
        <v>920</v>
      </c>
      <c r="C79" s="400">
        <v>4444160</v>
      </c>
      <c r="D79" s="614">
        <v>44582</v>
      </c>
      <c r="E79" s="614">
        <v>44912</v>
      </c>
      <c r="F79" s="613" t="s">
        <v>562</v>
      </c>
      <c r="G79" s="612" t="s">
        <v>921</v>
      </c>
      <c r="H79" s="612" t="s">
        <v>922</v>
      </c>
      <c r="I79" s="400" t="s">
        <v>565</v>
      </c>
      <c r="J79" s="400" t="s">
        <v>754</v>
      </c>
      <c r="K79" s="400" t="s">
        <v>923</v>
      </c>
      <c r="L79" s="612" t="s">
        <v>315</v>
      </c>
      <c r="M79" s="400" t="s">
        <v>924</v>
      </c>
      <c r="N79" s="400">
        <v>2170711</v>
      </c>
      <c r="O79" s="400">
        <v>1054</v>
      </c>
    </row>
    <row r="80" spans="1:15" s="611" customFormat="1" ht="15.75" customHeight="1">
      <c r="A80" s="400" t="s">
        <v>925</v>
      </c>
      <c r="B80" s="612" t="s">
        <v>926</v>
      </c>
      <c r="C80" s="400">
        <v>3028000</v>
      </c>
      <c r="D80" s="614">
        <v>44582</v>
      </c>
      <c r="E80" s="614">
        <v>44885</v>
      </c>
      <c r="F80" s="613" t="s">
        <v>562</v>
      </c>
      <c r="G80" s="612" t="s">
        <v>477</v>
      </c>
      <c r="H80" s="612" t="s">
        <v>593</v>
      </c>
      <c r="I80" s="400" t="s">
        <v>565</v>
      </c>
      <c r="J80" s="400" t="s">
        <v>584</v>
      </c>
      <c r="K80" s="400" t="s">
        <v>585</v>
      </c>
      <c r="L80" s="612" t="s">
        <v>632</v>
      </c>
      <c r="M80" s="400" t="s">
        <v>927</v>
      </c>
      <c r="N80" s="400">
        <v>2170711</v>
      </c>
      <c r="O80" s="400">
        <v>1046</v>
      </c>
    </row>
    <row r="81" spans="1:15" s="611" customFormat="1" ht="15.75" customHeight="1">
      <c r="A81" s="400" t="s">
        <v>928</v>
      </c>
      <c r="B81" s="612" t="s">
        <v>929</v>
      </c>
      <c r="C81" s="400">
        <v>6500000</v>
      </c>
      <c r="D81" s="614">
        <v>44582</v>
      </c>
      <c r="E81" s="614">
        <v>44872</v>
      </c>
      <c r="F81" s="613" t="s">
        <v>562</v>
      </c>
      <c r="G81" s="612" t="s">
        <v>930</v>
      </c>
      <c r="H81" s="612"/>
      <c r="I81" s="400" t="s">
        <v>565</v>
      </c>
      <c r="J81" s="400" t="s">
        <v>584</v>
      </c>
      <c r="K81" s="400" t="s">
        <v>585</v>
      </c>
      <c r="L81" s="612" t="s">
        <v>632</v>
      </c>
      <c r="M81" s="400" t="s">
        <v>931</v>
      </c>
      <c r="N81" s="400">
        <v>2170711</v>
      </c>
      <c r="O81" s="400">
        <v>1046</v>
      </c>
    </row>
    <row r="82" spans="1:15" s="611" customFormat="1" ht="15.75" customHeight="1">
      <c r="A82" s="400" t="s">
        <v>932</v>
      </c>
      <c r="B82" s="612" t="s">
        <v>933</v>
      </c>
      <c r="C82" s="400">
        <v>4447000</v>
      </c>
      <c r="D82" s="614">
        <v>44586</v>
      </c>
      <c r="E82" s="614">
        <v>44886</v>
      </c>
      <c r="F82" s="613" t="s">
        <v>562</v>
      </c>
      <c r="G82" s="612" t="s">
        <v>934</v>
      </c>
      <c r="H82" s="612"/>
      <c r="I82" s="400" t="s">
        <v>565</v>
      </c>
      <c r="J82" s="400" t="s">
        <v>584</v>
      </c>
      <c r="K82" s="400" t="s">
        <v>585</v>
      </c>
      <c r="L82" s="612" t="s">
        <v>673</v>
      </c>
      <c r="M82" s="400" t="s">
        <v>935</v>
      </c>
      <c r="N82" s="400">
        <v>2170711</v>
      </c>
      <c r="O82" s="400">
        <v>1033</v>
      </c>
    </row>
    <row r="83" spans="1:15" s="611" customFormat="1" ht="15.75" customHeight="1">
      <c r="A83" s="400" t="s">
        <v>936</v>
      </c>
      <c r="B83" s="612" t="s">
        <v>937</v>
      </c>
      <c r="C83" s="400">
        <v>5000000</v>
      </c>
      <c r="D83" s="614">
        <v>44586</v>
      </c>
      <c r="E83" s="614">
        <v>44879</v>
      </c>
      <c r="F83" s="613" t="s">
        <v>562</v>
      </c>
      <c r="G83" s="612" t="s">
        <v>938</v>
      </c>
      <c r="H83" s="612"/>
      <c r="I83" s="400" t="s">
        <v>565</v>
      </c>
      <c r="J83" s="400" t="s">
        <v>584</v>
      </c>
      <c r="K83" s="400" t="s">
        <v>585</v>
      </c>
      <c r="L83" s="612" t="s">
        <v>632</v>
      </c>
      <c r="M83" s="400" t="s">
        <v>939</v>
      </c>
      <c r="N83" s="400">
        <v>2170711</v>
      </c>
      <c r="O83" s="400">
        <v>1046</v>
      </c>
    </row>
    <row r="84" spans="1:15" s="611" customFormat="1" ht="15.75" customHeight="1">
      <c r="A84" s="400" t="s">
        <v>940</v>
      </c>
      <c r="B84" s="612" t="s">
        <v>941</v>
      </c>
      <c r="C84" s="400">
        <v>2000000</v>
      </c>
      <c r="D84" s="614">
        <v>44586</v>
      </c>
      <c r="E84" s="614">
        <v>44826</v>
      </c>
      <c r="F84" s="613" t="s">
        <v>562</v>
      </c>
      <c r="G84" s="612" t="s">
        <v>942</v>
      </c>
      <c r="H84" s="612"/>
      <c r="I84" s="400" t="s">
        <v>565</v>
      </c>
      <c r="J84" s="400" t="s">
        <v>584</v>
      </c>
      <c r="K84" s="400" t="s">
        <v>585</v>
      </c>
      <c r="L84" s="612" t="s">
        <v>637</v>
      </c>
      <c r="M84" s="400" t="s">
        <v>943</v>
      </c>
      <c r="N84" s="400">
        <v>2170711</v>
      </c>
      <c r="O84" s="400">
        <v>1061</v>
      </c>
    </row>
    <row r="85" spans="1:15" s="611" customFormat="1" ht="15.75" customHeight="1">
      <c r="A85" s="400" t="s">
        <v>944</v>
      </c>
      <c r="B85" s="612" t="s">
        <v>945</v>
      </c>
      <c r="C85" s="400">
        <v>7000000</v>
      </c>
      <c r="D85" s="614">
        <v>44586</v>
      </c>
      <c r="E85" s="614">
        <v>44856</v>
      </c>
      <c r="F85" s="613" t="s">
        <v>562</v>
      </c>
      <c r="G85" s="612" t="s">
        <v>946</v>
      </c>
      <c r="H85" s="612"/>
      <c r="I85" s="400" t="s">
        <v>565</v>
      </c>
      <c r="J85" s="400" t="s">
        <v>584</v>
      </c>
      <c r="K85" s="400" t="s">
        <v>585</v>
      </c>
      <c r="L85" s="612" t="s">
        <v>637</v>
      </c>
      <c r="M85" s="400" t="s">
        <v>947</v>
      </c>
      <c r="N85" s="400">
        <v>2170711</v>
      </c>
      <c r="O85" s="400">
        <v>1061</v>
      </c>
    </row>
    <row r="86" spans="1:15" s="611" customFormat="1" ht="15.75" customHeight="1">
      <c r="A86" s="400" t="s">
        <v>948</v>
      </c>
      <c r="B86" s="612" t="s">
        <v>949</v>
      </c>
      <c r="C86" s="400">
        <v>7000000</v>
      </c>
      <c r="D86" s="614">
        <v>44586</v>
      </c>
      <c r="E86" s="614">
        <v>44879</v>
      </c>
      <c r="F86" s="613" t="s">
        <v>562</v>
      </c>
      <c r="G86" s="612" t="s">
        <v>950</v>
      </c>
      <c r="H86" s="612" t="s">
        <v>859</v>
      </c>
      <c r="I86" s="400" t="s">
        <v>565</v>
      </c>
      <c r="J86" s="400" t="s">
        <v>770</v>
      </c>
      <c r="K86" s="400" t="s">
        <v>951</v>
      </c>
      <c r="L86" s="612" t="s">
        <v>632</v>
      </c>
      <c r="M86" s="400" t="s">
        <v>952</v>
      </c>
      <c r="N86" s="400">
        <v>2170711</v>
      </c>
      <c r="O86" s="400">
        <v>1046</v>
      </c>
    </row>
    <row r="87" spans="1:15" s="611" customFormat="1" ht="15.75" customHeight="1">
      <c r="A87" s="400" t="s">
        <v>953</v>
      </c>
      <c r="B87" s="612" t="s">
        <v>954</v>
      </c>
      <c r="C87" s="400">
        <v>4000000</v>
      </c>
      <c r="D87" s="614">
        <v>44586</v>
      </c>
      <c r="E87" s="614">
        <v>44886</v>
      </c>
      <c r="F87" s="613" t="s">
        <v>562</v>
      </c>
      <c r="G87" s="612" t="s">
        <v>955</v>
      </c>
      <c r="H87" s="612"/>
      <c r="I87" s="400" t="s">
        <v>565</v>
      </c>
      <c r="J87" s="400" t="s">
        <v>584</v>
      </c>
      <c r="K87" s="400" t="s">
        <v>585</v>
      </c>
      <c r="L87" s="612" t="s">
        <v>632</v>
      </c>
      <c r="M87" s="400" t="s">
        <v>956</v>
      </c>
      <c r="N87" s="400">
        <v>2170711</v>
      </c>
      <c r="O87" s="400">
        <v>1046</v>
      </c>
    </row>
    <row r="88" spans="1:15" s="611" customFormat="1" ht="15.75" customHeight="1">
      <c r="A88" s="400" t="s">
        <v>957</v>
      </c>
      <c r="B88" s="612" t="s">
        <v>958</v>
      </c>
      <c r="C88" s="400">
        <v>4000000</v>
      </c>
      <c r="D88" s="614">
        <v>44586</v>
      </c>
      <c r="E88" s="614">
        <v>44886</v>
      </c>
      <c r="F88" s="613" t="s">
        <v>562</v>
      </c>
      <c r="G88" s="612" t="s">
        <v>959</v>
      </c>
      <c r="H88" s="612"/>
      <c r="I88" s="400" t="s">
        <v>565</v>
      </c>
      <c r="J88" s="400" t="s">
        <v>584</v>
      </c>
      <c r="K88" s="400" t="s">
        <v>585</v>
      </c>
      <c r="L88" s="612" t="s">
        <v>632</v>
      </c>
      <c r="M88" s="400" t="s">
        <v>960</v>
      </c>
      <c r="N88" s="400">
        <v>2170711</v>
      </c>
      <c r="O88" s="400">
        <v>1046</v>
      </c>
    </row>
    <row r="89" spans="1:15" s="611" customFormat="1" ht="15.75" customHeight="1">
      <c r="A89" s="400" t="s">
        <v>961</v>
      </c>
      <c r="B89" s="612" t="s">
        <v>962</v>
      </c>
      <c r="C89" s="400">
        <v>7000000</v>
      </c>
      <c r="D89" s="614">
        <v>44586</v>
      </c>
      <c r="E89" s="614">
        <v>44797</v>
      </c>
      <c r="F89" s="613" t="s">
        <v>562</v>
      </c>
      <c r="G89" s="612" t="s">
        <v>759</v>
      </c>
      <c r="H89" s="612" t="s">
        <v>573</v>
      </c>
      <c r="I89" s="400" t="s">
        <v>565</v>
      </c>
      <c r="J89" s="400" t="s">
        <v>584</v>
      </c>
      <c r="K89" s="400" t="s">
        <v>585</v>
      </c>
      <c r="L89" s="612" t="s">
        <v>632</v>
      </c>
      <c r="M89" s="400" t="s">
        <v>963</v>
      </c>
      <c r="N89" s="400">
        <v>2170711</v>
      </c>
      <c r="O89" s="400">
        <v>1046</v>
      </c>
    </row>
    <row r="90" spans="1:15" s="611" customFormat="1" ht="15.75" customHeight="1">
      <c r="A90" s="400" t="s">
        <v>964</v>
      </c>
      <c r="B90" s="612" t="s">
        <v>965</v>
      </c>
      <c r="C90" s="400">
        <v>6000000</v>
      </c>
      <c r="D90" s="614">
        <v>44586</v>
      </c>
      <c r="E90" s="614">
        <v>44886</v>
      </c>
      <c r="F90" s="613" t="s">
        <v>562</v>
      </c>
      <c r="G90" s="612" t="s">
        <v>938</v>
      </c>
      <c r="H90" s="612"/>
      <c r="I90" s="400" t="s">
        <v>565</v>
      </c>
      <c r="J90" s="400" t="s">
        <v>584</v>
      </c>
      <c r="K90" s="400" t="s">
        <v>585</v>
      </c>
      <c r="L90" s="612" t="s">
        <v>632</v>
      </c>
      <c r="M90" s="400" t="s">
        <v>966</v>
      </c>
      <c r="N90" s="400">
        <v>2170711</v>
      </c>
      <c r="O90" s="400">
        <v>1046</v>
      </c>
    </row>
    <row r="91" spans="1:15" s="611" customFormat="1" ht="15.75" customHeight="1">
      <c r="A91" s="400" t="s">
        <v>967</v>
      </c>
      <c r="B91" s="612" t="s">
        <v>968</v>
      </c>
      <c r="C91" s="400">
        <v>7780000</v>
      </c>
      <c r="D91" s="614">
        <v>44586</v>
      </c>
      <c r="E91" s="614">
        <v>44886</v>
      </c>
      <c r="F91" s="613" t="s">
        <v>562</v>
      </c>
      <c r="G91" s="612" t="s">
        <v>969</v>
      </c>
      <c r="H91" s="612"/>
      <c r="I91" s="400" t="s">
        <v>565</v>
      </c>
      <c r="J91" s="400" t="s">
        <v>584</v>
      </c>
      <c r="K91" s="400" t="s">
        <v>585</v>
      </c>
      <c r="L91" s="612" t="s">
        <v>632</v>
      </c>
      <c r="M91" s="400" t="s">
        <v>970</v>
      </c>
      <c r="N91" s="400">
        <v>2170711</v>
      </c>
      <c r="O91" s="400">
        <v>1046</v>
      </c>
    </row>
    <row r="92" spans="1:15" s="611" customFormat="1" ht="15.75" customHeight="1">
      <c r="A92" s="400" t="s">
        <v>971</v>
      </c>
      <c r="B92" s="612" t="s">
        <v>972</v>
      </c>
      <c r="C92" s="400">
        <v>7500000</v>
      </c>
      <c r="D92" s="614">
        <v>44587</v>
      </c>
      <c r="E92" s="614">
        <v>44887</v>
      </c>
      <c r="F92" s="613" t="s">
        <v>562</v>
      </c>
      <c r="G92" s="612" t="s">
        <v>973</v>
      </c>
      <c r="H92" s="612"/>
      <c r="I92" s="400" t="s">
        <v>565</v>
      </c>
      <c r="J92" s="400" t="s">
        <v>584</v>
      </c>
      <c r="K92" s="400" t="s">
        <v>585</v>
      </c>
      <c r="L92" s="612" t="s">
        <v>632</v>
      </c>
      <c r="M92" s="400" t="s">
        <v>974</v>
      </c>
      <c r="N92" s="400">
        <v>2170711</v>
      </c>
      <c r="O92" s="400">
        <v>1046</v>
      </c>
    </row>
    <row r="93" spans="1:15" s="611" customFormat="1" ht="15.75" customHeight="1">
      <c r="A93" s="400" t="s">
        <v>975</v>
      </c>
      <c r="B93" s="612" t="s">
        <v>976</v>
      </c>
      <c r="C93" s="400">
        <v>7158000</v>
      </c>
      <c r="D93" s="614">
        <v>44587</v>
      </c>
      <c r="E93" s="614">
        <v>44751</v>
      </c>
      <c r="F93" s="613" t="s">
        <v>562</v>
      </c>
      <c r="G93" s="612" t="s">
        <v>977</v>
      </c>
      <c r="H93" s="612" t="s">
        <v>693</v>
      </c>
      <c r="I93" s="400" t="s">
        <v>565</v>
      </c>
      <c r="J93" s="400" t="s">
        <v>978</v>
      </c>
      <c r="K93" s="400" t="s">
        <v>979</v>
      </c>
      <c r="L93" s="612" t="s">
        <v>673</v>
      </c>
      <c r="M93" s="400" t="s">
        <v>980</v>
      </c>
      <c r="N93" s="400">
        <v>2170711</v>
      </c>
      <c r="O93" s="400">
        <v>1040</v>
      </c>
    </row>
    <row r="94" spans="1:15" s="611" customFormat="1" ht="15.75" customHeight="1">
      <c r="A94" s="400" t="s">
        <v>981</v>
      </c>
      <c r="B94" s="612" t="s">
        <v>982</v>
      </c>
      <c r="C94" s="400">
        <v>7000000</v>
      </c>
      <c r="D94" s="614">
        <v>44586</v>
      </c>
      <c r="E94" s="614">
        <v>44879</v>
      </c>
      <c r="F94" s="613" t="s">
        <v>562</v>
      </c>
      <c r="G94" s="612" t="s">
        <v>983</v>
      </c>
      <c r="H94" s="612" t="s">
        <v>722</v>
      </c>
      <c r="I94" s="400" t="s">
        <v>565</v>
      </c>
      <c r="J94" s="400" t="s">
        <v>723</v>
      </c>
      <c r="K94" s="400" t="s">
        <v>984</v>
      </c>
      <c r="L94" s="612" t="s">
        <v>632</v>
      </c>
      <c r="M94" s="400" t="s">
        <v>985</v>
      </c>
      <c r="N94" s="400">
        <v>2170711</v>
      </c>
      <c r="O94" s="400">
        <v>1046</v>
      </c>
    </row>
    <row r="95" spans="1:15" s="611" customFormat="1" ht="15.75" customHeight="1">
      <c r="A95" s="400" t="s">
        <v>986</v>
      </c>
      <c r="B95" s="612" t="s">
        <v>987</v>
      </c>
      <c r="C95" s="400">
        <v>3193000</v>
      </c>
      <c r="D95" s="614">
        <v>44586</v>
      </c>
      <c r="E95" s="614">
        <v>44879</v>
      </c>
      <c r="F95" s="613" t="s">
        <v>562</v>
      </c>
      <c r="G95" s="612" t="s">
        <v>615</v>
      </c>
      <c r="H95" s="612" t="s">
        <v>988</v>
      </c>
      <c r="I95" s="400" t="s">
        <v>565</v>
      </c>
      <c r="J95" s="400" t="s">
        <v>584</v>
      </c>
      <c r="K95" s="400" t="s">
        <v>989</v>
      </c>
      <c r="L95" s="612" t="s">
        <v>673</v>
      </c>
      <c r="M95" s="400" t="s">
        <v>990</v>
      </c>
      <c r="N95" s="400">
        <v>2170711</v>
      </c>
      <c r="O95" s="400">
        <v>1035</v>
      </c>
    </row>
    <row r="96" spans="1:15" s="611" customFormat="1" ht="15.75" customHeight="1">
      <c r="A96" s="400" t="s">
        <v>991</v>
      </c>
      <c r="B96" s="612" t="s">
        <v>992</v>
      </c>
      <c r="C96" s="400">
        <v>5201000</v>
      </c>
      <c r="D96" s="614">
        <v>44586</v>
      </c>
      <c r="E96" s="614">
        <v>44886</v>
      </c>
      <c r="F96" s="613" t="s">
        <v>562</v>
      </c>
      <c r="G96" s="612" t="s">
        <v>993</v>
      </c>
      <c r="H96" s="612"/>
      <c r="I96" s="400" t="s">
        <v>565</v>
      </c>
      <c r="J96" s="400" t="s">
        <v>584</v>
      </c>
      <c r="K96" s="400" t="s">
        <v>585</v>
      </c>
      <c r="L96" s="612" t="s">
        <v>673</v>
      </c>
      <c r="M96" s="400" t="s">
        <v>994</v>
      </c>
      <c r="N96" s="400">
        <v>2170711</v>
      </c>
      <c r="O96" s="400">
        <v>1041</v>
      </c>
    </row>
    <row r="97" spans="1:15" s="611" customFormat="1" ht="15.75" customHeight="1">
      <c r="A97" s="400" t="s">
        <v>995</v>
      </c>
      <c r="B97" s="612" t="s">
        <v>996</v>
      </c>
      <c r="C97" s="400">
        <v>6000000</v>
      </c>
      <c r="D97" s="614">
        <v>44587</v>
      </c>
      <c r="E97" s="614">
        <v>44890</v>
      </c>
      <c r="F97" s="613" t="s">
        <v>562</v>
      </c>
      <c r="G97" s="612" t="s">
        <v>997</v>
      </c>
      <c r="H97" s="612" t="s">
        <v>660</v>
      </c>
      <c r="I97" s="400" t="s">
        <v>565</v>
      </c>
      <c r="J97" s="400" t="s">
        <v>760</v>
      </c>
      <c r="K97" s="400" t="s">
        <v>998</v>
      </c>
      <c r="L97" s="612" t="s">
        <v>632</v>
      </c>
      <c r="M97" s="400" t="s">
        <v>999</v>
      </c>
      <c r="N97" s="400">
        <v>2170711</v>
      </c>
      <c r="O97" s="400">
        <v>1046</v>
      </c>
    </row>
    <row r="98" spans="1:15" s="611" customFormat="1" ht="15.75" customHeight="1">
      <c r="A98" s="400" t="s">
        <v>1000</v>
      </c>
      <c r="B98" s="612" t="s">
        <v>1001</v>
      </c>
      <c r="C98" s="400">
        <v>5600000</v>
      </c>
      <c r="D98" s="614">
        <v>44587</v>
      </c>
      <c r="E98" s="614">
        <v>44806</v>
      </c>
      <c r="F98" s="613" t="s">
        <v>562</v>
      </c>
      <c r="G98" s="612" t="s">
        <v>1002</v>
      </c>
      <c r="H98" s="612" t="s">
        <v>610</v>
      </c>
      <c r="I98" s="400" t="s">
        <v>565</v>
      </c>
      <c r="J98" s="400" t="s">
        <v>584</v>
      </c>
      <c r="K98" s="400" t="s">
        <v>585</v>
      </c>
      <c r="L98" s="612" t="s">
        <v>362</v>
      </c>
      <c r="M98" s="400" t="s">
        <v>1003</v>
      </c>
      <c r="N98" s="400">
        <v>2170711</v>
      </c>
      <c r="O98" s="400">
        <v>1005</v>
      </c>
    </row>
    <row r="99" spans="1:15" s="611" customFormat="1" ht="15.75" customHeight="1">
      <c r="A99" s="400" t="s">
        <v>1004</v>
      </c>
      <c r="B99" s="612" t="s">
        <v>1005</v>
      </c>
      <c r="C99" s="400">
        <v>4400000</v>
      </c>
      <c r="D99" s="614">
        <v>44587</v>
      </c>
      <c r="E99" s="614">
        <v>44767</v>
      </c>
      <c r="F99" s="613" t="s">
        <v>562</v>
      </c>
      <c r="G99" s="612" t="s">
        <v>1006</v>
      </c>
      <c r="H99" s="612"/>
      <c r="I99" s="400" t="s">
        <v>565</v>
      </c>
      <c r="J99" s="400" t="s">
        <v>584</v>
      </c>
      <c r="K99" s="400" t="s">
        <v>585</v>
      </c>
      <c r="L99" s="612" t="s">
        <v>643</v>
      </c>
      <c r="M99" s="400" t="s">
        <v>1007</v>
      </c>
      <c r="N99" s="400">
        <v>2170711</v>
      </c>
      <c r="O99" s="400">
        <v>1008</v>
      </c>
    </row>
    <row r="100" spans="1:15" s="611" customFormat="1" ht="15.75" customHeight="1">
      <c r="A100" s="400" t="s">
        <v>1008</v>
      </c>
      <c r="B100" s="612" t="s">
        <v>1009</v>
      </c>
      <c r="C100" s="400">
        <v>5854545.454545454</v>
      </c>
      <c r="D100" s="614">
        <v>44587</v>
      </c>
      <c r="E100" s="614">
        <v>44917</v>
      </c>
      <c r="F100" s="613" t="s">
        <v>562</v>
      </c>
      <c r="G100" s="612" t="s">
        <v>938</v>
      </c>
      <c r="H100" s="612"/>
      <c r="I100" s="400" t="s">
        <v>565</v>
      </c>
      <c r="J100" s="400" t="s">
        <v>584</v>
      </c>
      <c r="K100" s="400" t="s">
        <v>585</v>
      </c>
      <c r="L100" s="612" t="s">
        <v>362</v>
      </c>
      <c r="M100" s="400" t="s">
        <v>1010</v>
      </c>
      <c r="N100" s="400">
        <v>2170711</v>
      </c>
      <c r="O100" s="400">
        <v>1005</v>
      </c>
    </row>
    <row r="101" spans="1:15" s="611" customFormat="1" ht="15.75" customHeight="1">
      <c r="A101" s="400" t="s">
        <v>1011</v>
      </c>
      <c r="B101" s="612" t="s">
        <v>1012</v>
      </c>
      <c r="C101" s="400">
        <v>6000000</v>
      </c>
      <c r="D101" s="614">
        <v>44587</v>
      </c>
      <c r="E101" s="614">
        <v>44917</v>
      </c>
      <c r="F101" s="613" t="s">
        <v>562</v>
      </c>
      <c r="G101" s="612" t="s">
        <v>1013</v>
      </c>
      <c r="H101" s="612"/>
      <c r="I101" s="400" t="s">
        <v>565</v>
      </c>
      <c r="J101" s="400" t="s">
        <v>584</v>
      </c>
      <c r="K101" s="400" t="s">
        <v>585</v>
      </c>
      <c r="L101" s="612" t="s">
        <v>315</v>
      </c>
      <c r="M101" s="400" t="s">
        <v>1014</v>
      </c>
      <c r="N101" s="400">
        <v>2170711</v>
      </c>
      <c r="O101" s="400">
        <v>1054</v>
      </c>
    </row>
    <row r="102" spans="1:15" s="611" customFormat="1" ht="15.75" customHeight="1">
      <c r="A102" s="400" t="s">
        <v>1015</v>
      </c>
      <c r="B102" s="612" t="s">
        <v>1016</v>
      </c>
      <c r="C102" s="400">
        <v>8300000</v>
      </c>
      <c r="D102" s="614">
        <v>44587</v>
      </c>
      <c r="E102" s="614">
        <v>44890</v>
      </c>
      <c r="F102" s="613" t="s">
        <v>562</v>
      </c>
      <c r="G102" s="612" t="s">
        <v>1017</v>
      </c>
      <c r="H102" s="612" t="s">
        <v>660</v>
      </c>
      <c r="I102" s="400" t="s">
        <v>565</v>
      </c>
      <c r="J102" s="400" t="s">
        <v>584</v>
      </c>
      <c r="K102" s="400" t="s">
        <v>585</v>
      </c>
      <c r="L102" s="612" t="s">
        <v>632</v>
      </c>
      <c r="M102" s="400" t="s">
        <v>1018</v>
      </c>
      <c r="N102" s="400">
        <v>2170711</v>
      </c>
      <c r="O102" s="400">
        <v>1046</v>
      </c>
    </row>
    <row r="103" spans="1:15" s="611" customFormat="1" ht="15.75" customHeight="1">
      <c r="A103" s="400" t="s">
        <v>1019</v>
      </c>
      <c r="B103" s="612" t="s">
        <v>1020</v>
      </c>
      <c r="C103" s="400">
        <v>8000000</v>
      </c>
      <c r="D103" s="614">
        <v>44587</v>
      </c>
      <c r="E103" s="614">
        <v>44890</v>
      </c>
      <c r="F103" s="613" t="s">
        <v>562</v>
      </c>
      <c r="G103" s="612" t="s">
        <v>1021</v>
      </c>
      <c r="H103" s="612" t="s">
        <v>564</v>
      </c>
      <c r="I103" s="400" t="s">
        <v>565</v>
      </c>
      <c r="J103" s="400" t="s">
        <v>584</v>
      </c>
      <c r="K103" s="400" t="s">
        <v>585</v>
      </c>
      <c r="L103" s="612" t="s">
        <v>632</v>
      </c>
      <c r="M103" s="400" t="s">
        <v>1022</v>
      </c>
      <c r="N103" s="400">
        <v>2170711</v>
      </c>
      <c r="O103" s="400">
        <v>1046</v>
      </c>
    </row>
    <row r="104" spans="1:15" s="611" customFormat="1" ht="15.75" customHeight="1">
      <c r="A104" s="400" t="s">
        <v>1023</v>
      </c>
      <c r="B104" s="612" t="s">
        <v>1024</v>
      </c>
      <c r="C104" s="400">
        <v>6000000</v>
      </c>
      <c r="D104" s="614">
        <v>44587</v>
      </c>
      <c r="E104" s="614">
        <v>44936</v>
      </c>
      <c r="F104" s="613" t="s">
        <v>562</v>
      </c>
      <c r="G104" s="612" t="s">
        <v>1025</v>
      </c>
      <c r="H104" s="612" t="s">
        <v>616</v>
      </c>
      <c r="I104" s="400" t="s">
        <v>565</v>
      </c>
      <c r="J104" s="400" t="s">
        <v>584</v>
      </c>
      <c r="K104" s="400" t="s">
        <v>1026</v>
      </c>
      <c r="L104" s="612" t="s">
        <v>362</v>
      </c>
      <c r="M104" s="400" t="s">
        <v>1027</v>
      </c>
      <c r="N104" s="400">
        <v>2170711</v>
      </c>
      <c r="O104" s="400">
        <v>1005</v>
      </c>
    </row>
    <row r="105" spans="1:15" s="611" customFormat="1" ht="15.75" customHeight="1">
      <c r="A105" s="400" t="s">
        <v>1028</v>
      </c>
      <c r="B105" s="612" t="s">
        <v>1029</v>
      </c>
      <c r="C105" s="400">
        <v>3000000</v>
      </c>
      <c r="D105" s="614">
        <v>44587</v>
      </c>
      <c r="E105" s="614">
        <v>44768</v>
      </c>
      <c r="F105" s="613" t="s">
        <v>562</v>
      </c>
      <c r="G105" s="612" t="s">
        <v>1030</v>
      </c>
      <c r="H105" s="612"/>
      <c r="I105" s="400" t="s">
        <v>565</v>
      </c>
      <c r="J105" s="400" t="s">
        <v>584</v>
      </c>
      <c r="K105" s="400" t="s">
        <v>585</v>
      </c>
      <c r="L105" s="612" t="s">
        <v>362</v>
      </c>
      <c r="M105" s="400" t="s">
        <v>1031</v>
      </c>
      <c r="N105" s="400">
        <v>2170711</v>
      </c>
      <c r="O105" s="400">
        <v>1005</v>
      </c>
    </row>
    <row r="106" spans="1:15" s="611" customFormat="1" ht="15.75" customHeight="1">
      <c r="A106" s="400" t="s">
        <v>1032</v>
      </c>
      <c r="B106" s="612" t="s">
        <v>1033</v>
      </c>
      <c r="C106" s="400">
        <v>7000000</v>
      </c>
      <c r="D106" s="614">
        <v>44586</v>
      </c>
      <c r="E106" s="614">
        <v>44879</v>
      </c>
      <c r="F106" s="613" t="s">
        <v>562</v>
      </c>
      <c r="G106" s="612" t="s">
        <v>1034</v>
      </c>
      <c r="H106" s="612" t="s">
        <v>1035</v>
      </c>
      <c r="I106" s="400" t="s">
        <v>565</v>
      </c>
      <c r="J106" s="400" t="s">
        <v>584</v>
      </c>
      <c r="K106" s="400" t="s">
        <v>585</v>
      </c>
      <c r="L106" s="612" t="s">
        <v>632</v>
      </c>
      <c r="M106" s="400" t="s">
        <v>1036</v>
      </c>
      <c r="N106" s="400">
        <v>2170711</v>
      </c>
      <c r="O106" s="400">
        <v>1046</v>
      </c>
    </row>
    <row r="107" spans="1:15" s="611" customFormat="1" ht="15.75" customHeight="1">
      <c r="A107" s="400" t="s">
        <v>1037</v>
      </c>
      <c r="B107" s="612" t="s">
        <v>1038</v>
      </c>
      <c r="C107" s="400">
        <v>2521000</v>
      </c>
      <c r="D107" s="614">
        <v>44587</v>
      </c>
      <c r="E107" s="614">
        <v>44890</v>
      </c>
      <c r="F107" s="613" t="s">
        <v>562</v>
      </c>
      <c r="G107" s="612" t="s">
        <v>477</v>
      </c>
      <c r="H107" s="612" t="s">
        <v>1039</v>
      </c>
      <c r="I107" s="400" t="s">
        <v>565</v>
      </c>
      <c r="J107" s="400" t="s">
        <v>584</v>
      </c>
      <c r="K107" s="400" t="s">
        <v>585</v>
      </c>
      <c r="L107" s="612" t="s">
        <v>673</v>
      </c>
      <c r="M107" s="400" t="s">
        <v>1040</v>
      </c>
      <c r="N107" s="400">
        <v>2170711</v>
      </c>
      <c r="O107" s="400">
        <v>1035</v>
      </c>
    </row>
    <row r="108" spans="1:15" s="611" customFormat="1" ht="15.75" customHeight="1">
      <c r="A108" s="400" t="s">
        <v>1041</v>
      </c>
      <c r="B108" s="612" t="s">
        <v>1042</v>
      </c>
      <c r="C108" s="400">
        <v>4400000</v>
      </c>
      <c r="D108" s="614">
        <v>44587</v>
      </c>
      <c r="E108" s="614">
        <v>44798</v>
      </c>
      <c r="F108" s="613" t="s">
        <v>562</v>
      </c>
      <c r="G108" s="612" t="s">
        <v>1043</v>
      </c>
      <c r="H108" s="612" t="s">
        <v>1044</v>
      </c>
      <c r="I108" s="400" t="s">
        <v>565</v>
      </c>
      <c r="J108" s="400" t="s">
        <v>584</v>
      </c>
      <c r="K108" s="400" t="s">
        <v>585</v>
      </c>
      <c r="L108" s="612" t="s">
        <v>632</v>
      </c>
      <c r="M108" s="400" t="s">
        <v>1045</v>
      </c>
      <c r="N108" s="400">
        <v>2170711</v>
      </c>
      <c r="O108" s="400">
        <v>1046</v>
      </c>
    </row>
    <row r="109" spans="1:15" s="611" customFormat="1" ht="15.75" customHeight="1">
      <c r="A109" s="400" t="s">
        <v>1046</v>
      </c>
      <c r="B109" s="612" t="s">
        <v>1047</v>
      </c>
      <c r="C109" s="400">
        <v>6500000</v>
      </c>
      <c r="D109" s="614">
        <v>44587</v>
      </c>
      <c r="E109" s="614">
        <v>44890</v>
      </c>
      <c r="F109" s="613" t="s">
        <v>562</v>
      </c>
      <c r="G109" s="612" t="s">
        <v>1048</v>
      </c>
      <c r="H109" s="612" t="s">
        <v>573</v>
      </c>
      <c r="I109" s="400" t="s">
        <v>565</v>
      </c>
      <c r="J109" s="400" t="s">
        <v>584</v>
      </c>
      <c r="K109" s="400" t="s">
        <v>585</v>
      </c>
      <c r="L109" s="612" t="s">
        <v>632</v>
      </c>
      <c r="M109" s="400" t="s">
        <v>1049</v>
      </c>
      <c r="N109" s="400">
        <v>2170711</v>
      </c>
      <c r="O109" s="400">
        <v>1046</v>
      </c>
    </row>
    <row r="110" spans="1:15" s="611" customFormat="1" ht="15.75" customHeight="1">
      <c r="A110" s="400" t="s">
        <v>1050</v>
      </c>
      <c r="B110" s="612" t="s">
        <v>1051</v>
      </c>
      <c r="C110" s="400">
        <v>2000000</v>
      </c>
      <c r="D110" s="614">
        <v>44588</v>
      </c>
      <c r="E110" s="614">
        <v>44860</v>
      </c>
      <c r="F110" s="613" t="s">
        <v>562</v>
      </c>
      <c r="G110" s="612" t="s">
        <v>1052</v>
      </c>
      <c r="H110" s="612"/>
      <c r="I110" s="400" t="s">
        <v>565</v>
      </c>
      <c r="J110" s="400" t="s">
        <v>584</v>
      </c>
      <c r="K110" s="400" t="s">
        <v>585</v>
      </c>
      <c r="L110" s="612" t="s">
        <v>637</v>
      </c>
      <c r="M110" s="400" t="s">
        <v>1053</v>
      </c>
      <c r="N110" s="400">
        <v>2170711</v>
      </c>
      <c r="O110" s="400">
        <v>1061</v>
      </c>
    </row>
    <row r="111" spans="1:15" s="611" customFormat="1" ht="15.75" customHeight="1">
      <c r="A111" s="400" t="s">
        <v>1054</v>
      </c>
      <c r="B111" s="612" t="s">
        <v>1055</v>
      </c>
      <c r="C111" s="400">
        <v>4390000</v>
      </c>
      <c r="D111" s="614">
        <v>44587</v>
      </c>
      <c r="E111" s="614">
        <v>44890</v>
      </c>
      <c r="F111" s="613" t="s">
        <v>562</v>
      </c>
      <c r="G111" s="612" t="s">
        <v>1056</v>
      </c>
      <c r="H111" s="612" t="s">
        <v>589</v>
      </c>
      <c r="I111" s="400" t="s">
        <v>565</v>
      </c>
      <c r="J111" s="400" t="s">
        <v>584</v>
      </c>
      <c r="K111" s="400" t="s">
        <v>585</v>
      </c>
      <c r="L111" s="612" t="s">
        <v>673</v>
      </c>
      <c r="M111" s="400" t="s">
        <v>1057</v>
      </c>
      <c r="N111" s="400">
        <v>2170711</v>
      </c>
      <c r="O111" s="400">
        <v>1041</v>
      </c>
    </row>
    <row r="112" spans="1:15" s="611" customFormat="1" ht="15.75" customHeight="1">
      <c r="A112" s="400" t="s">
        <v>1058</v>
      </c>
      <c r="B112" s="612" t="s">
        <v>1059</v>
      </c>
      <c r="C112" s="400">
        <v>2000000</v>
      </c>
      <c r="D112" s="614">
        <v>44588</v>
      </c>
      <c r="E112" s="614">
        <v>44799</v>
      </c>
      <c r="F112" s="613" t="s">
        <v>562</v>
      </c>
      <c r="G112" s="612" t="s">
        <v>477</v>
      </c>
      <c r="H112" s="612" t="s">
        <v>893</v>
      </c>
      <c r="I112" s="400" t="s">
        <v>565</v>
      </c>
      <c r="J112" s="400" t="s">
        <v>584</v>
      </c>
      <c r="K112" s="400" t="s">
        <v>1060</v>
      </c>
      <c r="L112" s="612" t="s">
        <v>315</v>
      </c>
      <c r="M112" s="400" t="s">
        <v>1061</v>
      </c>
      <c r="N112" s="400">
        <v>2170711</v>
      </c>
      <c r="O112" s="400">
        <v>1054</v>
      </c>
    </row>
    <row r="113" spans="1:15" s="611" customFormat="1" ht="15.75" customHeight="1">
      <c r="A113" s="400" t="s">
        <v>1062</v>
      </c>
      <c r="B113" s="612" t="s">
        <v>1063</v>
      </c>
      <c r="C113" s="400">
        <v>5358000</v>
      </c>
      <c r="D113" s="614">
        <v>44587</v>
      </c>
      <c r="E113" s="614">
        <v>44751</v>
      </c>
      <c r="F113" s="613" t="s">
        <v>562</v>
      </c>
      <c r="G113" s="612" t="s">
        <v>1002</v>
      </c>
      <c r="H113" s="612" t="s">
        <v>693</v>
      </c>
      <c r="I113" s="400" t="s">
        <v>565</v>
      </c>
      <c r="J113" s="400" t="s">
        <v>770</v>
      </c>
      <c r="K113" s="400" t="s">
        <v>1064</v>
      </c>
      <c r="L113" s="612" t="s">
        <v>673</v>
      </c>
      <c r="M113" s="400" t="s">
        <v>1065</v>
      </c>
      <c r="N113" s="400">
        <v>2170711</v>
      </c>
      <c r="O113" s="400">
        <v>1040</v>
      </c>
    </row>
    <row r="114" spans="1:15" s="611" customFormat="1" ht="15.75" customHeight="1">
      <c r="A114" s="400" t="s">
        <v>1066</v>
      </c>
      <c r="B114" s="612" t="s">
        <v>1051</v>
      </c>
      <c r="C114" s="400">
        <v>2000000</v>
      </c>
      <c r="D114" s="614">
        <v>44588</v>
      </c>
      <c r="E114" s="614">
        <v>44799</v>
      </c>
      <c r="F114" s="613" t="s">
        <v>562</v>
      </c>
      <c r="G114" s="612" t="s">
        <v>477</v>
      </c>
      <c r="H114" s="612"/>
      <c r="I114" s="400" t="s">
        <v>565</v>
      </c>
      <c r="J114" s="400" t="s">
        <v>584</v>
      </c>
      <c r="K114" s="400" t="s">
        <v>585</v>
      </c>
      <c r="L114" s="612" t="s">
        <v>637</v>
      </c>
      <c r="M114" s="400" t="s">
        <v>1067</v>
      </c>
      <c r="N114" s="400">
        <v>2170711</v>
      </c>
      <c r="O114" s="400">
        <v>1061</v>
      </c>
    </row>
    <row r="115" spans="1:15" s="611" customFormat="1" ht="15.75" customHeight="1">
      <c r="A115" s="400" t="s">
        <v>1068</v>
      </c>
      <c r="B115" s="612" t="s">
        <v>1069</v>
      </c>
      <c r="C115" s="400">
        <v>2000000</v>
      </c>
      <c r="D115" s="614">
        <v>44587</v>
      </c>
      <c r="E115" s="614">
        <v>44798</v>
      </c>
      <c r="F115" s="613" t="s">
        <v>562</v>
      </c>
      <c r="G115" s="612" t="s">
        <v>1070</v>
      </c>
      <c r="H115" s="612"/>
      <c r="I115" s="400" t="s">
        <v>565</v>
      </c>
      <c r="J115" s="400" t="s">
        <v>584</v>
      </c>
      <c r="K115" s="400" t="s">
        <v>585</v>
      </c>
      <c r="L115" s="612" t="s">
        <v>315</v>
      </c>
      <c r="M115" s="400" t="s">
        <v>1071</v>
      </c>
      <c r="N115" s="400">
        <v>2170711</v>
      </c>
      <c r="O115" s="400">
        <v>1054</v>
      </c>
    </row>
    <row r="116" spans="1:15" s="611" customFormat="1" ht="15.75" customHeight="1">
      <c r="A116" s="400" t="s">
        <v>1072</v>
      </c>
      <c r="B116" s="612" t="s">
        <v>1073</v>
      </c>
      <c r="C116" s="400">
        <v>2944000</v>
      </c>
      <c r="D116" s="614">
        <v>44588</v>
      </c>
      <c r="E116" s="614">
        <v>44768</v>
      </c>
      <c r="F116" s="613" t="s">
        <v>562</v>
      </c>
      <c r="G116" s="612" t="s">
        <v>1074</v>
      </c>
      <c r="H116" s="612"/>
      <c r="I116" s="400" t="s">
        <v>565</v>
      </c>
      <c r="J116" s="400" t="s">
        <v>584</v>
      </c>
      <c r="K116" s="400" t="s">
        <v>585</v>
      </c>
      <c r="L116" s="612" t="s">
        <v>362</v>
      </c>
      <c r="M116" s="400" t="s">
        <v>1075</v>
      </c>
      <c r="N116" s="400">
        <v>2170711</v>
      </c>
      <c r="O116" s="400">
        <v>1005</v>
      </c>
    </row>
    <row r="117" spans="1:15" s="611" customFormat="1" ht="15.75" customHeight="1">
      <c r="A117" s="400" t="s">
        <v>1076</v>
      </c>
      <c r="B117" s="612" t="s">
        <v>1077</v>
      </c>
      <c r="C117" s="400">
        <v>5000000</v>
      </c>
      <c r="D117" s="614">
        <v>44588</v>
      </c>
      <c r="E117" s="614">
        <v>44921</v>
      </c>
      <c r="F117" s="613" t="s">
        <v>562</v>
      </c>
      <c r="G117" s="612" t="s">
        <v>1078</v>
      </c>
      <c r="H117" s="612" t="s">
        <v>988</v>
      </c>
      <c r="I117" s="400" t="s">
        <v>565</v>
      </c>
      <c r="J117" s="400" t="s">
        <v>1079</v>
      </c>
      <c r="K117" s="400" t="s">
        <v>1080</v>
      </c>
      <c r="L117" s="612" t="s">
        <v>315</v>
      </c>
      <c r="M117" s="400" t="s">
        <v>1081</v>
      </c>
      <c r="N117" s="400">
        <v>2170711</v>
      </c>
      <c r="O117" s="400">
        <v>1054</v>
      </c>
    </row>
    <row r="118" spans="1:15" s="611" customFormat="1" ht="15.75" customHeight="1">
      <c r="A118" s="400" t="s">
        <v>1082</v>
      </c>
      <c r="B118" s="612" t="s">
        <v>1083</v>
      </c>
      <c r="C118" s="400">
        <v>4000000</v>
      </c>
      <c r="D118" s="614">
        <v>44588</v>
      </c>
      <c r="E118" s="614">
        <v>44830</v>
      </c>
      <c r="F118" s="613" t="s">
        <v>562</v>
      </c>
      <c r="G118" s="612" t="s">
        <v>1084</v>
      </c>
      <c r="H118" s="612" t="s">
        <v>616</v>
      </c>
      <c r="I118" s="400" t="s">
        <v>565</v>
      </c>
      <c r="J118" s="400" t="s">
        <v>584</v>
      </c>
      <c r="K118" s="400" t="s">
        <v>1085</v>
      </c>
      <c r="L118" s="612" t="s">
        <v>362</v>
      </c>
      <c r="M118" s="400" t="s">
        <v>1086</v>
      </c>
      <c r="N118" s="400">
        <v>2170711</v>
      </c>
      <c r="O118" s="400">
        <v>1005</v>
      </c>
    </row>
    <row r="119" spans="1:15" s="611" customFormat="1" ht="15.75" customHeight="1">
      <c r="A119" s="400" t="s">
        <v>1087</v>
      </c>
      <c r="B119" s="612" t="s">
        <v>1088</v>
      </c>
      <c r="C119" s="400">
        <v>5000000</v>
      </c>
      <c r="D119" s="614">
        <v>44587</v>
      </c>
      <c r="E119" s="614">
        <v>44798</v>
      </c>
      <c r="F119" s="613" t="s">
        <v>562</v>
      </c>
      <c r="G119" s="612" t="s">
        <v>1089</v>
      </c>
      <c r="H119" s="612"/>
      <c r="I119" s="400" t="s">
        <v>565</v>
      </c>
      <c r="J119" s="400" t="s">
        <v>584</v>
      </c>
      <c r="K119" s="400" t="s">
        <v>585</v>
      </c>
      <c r="L119" s="612" t="s">
        <v>315</v>
      </c>
      <c r="M119" s="400" t="s">
        <v>1090</v>
      </c>
      <c r="N119" s="400">
        <v>2170711</v>
      </c>
      <c r="O119" s="400">
        <v>1054</v>
      </c>
    </row>
    <row r="120" spans="1:15" s="611" customFormat="1" ht="15.75" customHeight="1">
      <c r="A120" s="400" t="s">
        <v>1091</v>
      </c>
      <c r="B120" s="612" t="s">
        <v>1092</v>
      </c>
      <c r="C120" s="400">
        <v>4444160</v>
      </c>
      <c r="D120" s="614">
        <v>44587</v>
      </c>
      <c r="E120" s="614">
        <v>44920</v>
      </c>
      <c r="F120" s="613" t="s">
        <v>562</v>
      </c>
      <c r="G120" s="612" t="s">
        <v>1093</v>
      </c>
      <c r="H120" s="612" t="s">
        <v>698</v>
      </c>
      <c r="I120" s="400" t="s">
        <v>565</v>
      </c>
      <c r="J120" s="400" t="s">
        <v>584</v>
      </c>
      <c r="K120" s="400" t="s">
        <v>585</v>
      </c>
      <c r="L120" s="612" t="s">
        <v>315</v>
      </c>
      <c r="M120" s="400" t="s">
        <v>1094</v>
      </c>
      <c r="N120" s="400">
        <v>2170711</v>
      </c>
      <c r="O120" s="400">
        <v>1054</v>
      </c>
    </row>
    <row r="121" spans="1:15" s="611" customFormat="1" ht="15.75" customHeight="1">
      <c r="A121" s="400" t="s">
        <v>1095</v>
      </c>
      <c r="B121" s="612" t="s">
        <v>1096</v>
      </c>
      <c r="C121" s="400">
        <v>9000000</v>
      </c>
      <c r="D121" s="614">
        <v>44587</v>
      </c>
      <c r="E121" s="614">
        <v>44936</v>
      </c>
      <c r="F121" s="613" t="s">
        <v>562</v>
      </c>
      <c r="G121" s="612" t="s">
        <v>1097</v>
      </c>
      <c r="H121" s="612" t="s">
        <v>1098</v>
      </c>
      <c r="I121" s="400" t="s">
        <v>565</v>
      </c>
      <c r="J121" s="400" t="s">
        <v>584</v>
      </c>
      <c r="K121" s="400" t="s">
        <v>585</v>
      </c>
      <c r="L121" s="612" t="s">
        <v>362</v>
      </c>
      <c r="M121" s="400" t="s">
        <v>1099</v>
      </c>
      <c r="N121" s="400">
        <v>2170711</v>
      </c>
      <c r="O121" s="400">
        <v>1023</v>
      </c>
    </row>
    <row r="122" spans="1:15" s="611" customFormat="1" ht="15.75" customHeight="1">
      <c r="A122" s="400" t="s">
        <v>1100</v>
      </c>
      <c r="B122" s="612" t="s">
        <v>1101</v>
      </c>
      <c r="C122" s="400">
        <v>4340000</v>
      </c>
      <c r="D122" s="614">
        <v>44588</v>
      </c>
      <c r="E122" s="614">
        <v>44707</v>
      </c>
      <c r="F122" s="613" t="s">
        <v>562</v>
      </c>
      <c r="G122" s="612" t="s">
        <v>1102</v>
      </c>
      <c r="H122" s="612" t="s">
        <v>589</v>
      </c>
      <c r="I122" s="400" t="s">
        <v>565</v>
      </c>
      <c r="J122" s="400" t="s">
        <v>760</v>
      </c>
      <c r="K122" s="400" t="s">
        <v>761</v>
      </c>
      <c r="L122" s="612" t="s">
        <v>322</v>
      </c>
      <c r="M122" s="400" t="s">
        <v>1103</v>
      </c>
      <c r="N122" s="400">
        <v>2170711</v>
      </c>
      <c r="O122" s="400">
        <v>1061</v>
      </c>
    </row>
    <row r="123" spans="1:15" s="611" customFormat="1" ht="15.75" customHeight="1">
      <c r="A123" s="400" t="s">
        <v>1104</v>
      </c>
      <c r="B123" s="612" t="s">
        <v>1105</v>
      </c>
      <c r="C123" s="400">
        <v>2944000</v>
      </c>
      <c r="D123" s="614">
        <v>44587</v>
      </c>
      <c r="E123" s="614">
        <v>44936</v>
      </c>
      <c r="F123" s="613" t="s">
        <v>562</v>
      </c>
      <c r="G123" s="612" t="s">
        <v>477</v>
      </c>
      <c r="H123" s="612"/>
      <c r="I123" s="400" t="s">
        <v>565</v>
      </c>
      <c r="J123" s="400" t="s">
        <v>584</v>
      </c>
      <c r="K123" s="400" t="s">
        <v>585</v>
      </c>
      <c r="L123" s="612" t="s">
        <v>362</v>
      </c>
      <c r="M123" s="400" t="s">
        <v>1106</v>
      </c>
      <c r="N123" s="400">
        <v>2170711</v>
      </c>
      <c r="O123" s="400">
        <v>1005</v>
      </c>
    </row>
    <row r="124" spans="1:15" s="611" customFormat="1" ht="15.75" customHeight="1">
      <c r="A124" s="400" t="s">
        <v>1107</v>
      </c>
      <c r="B124" s="612" t="s">
        <v>1059</v>
      </c>
      <c r="C124" s="400">
        <v>2000000</v>
      </c>
      <c r="D124" s="614">
        <v>44587</v>
      </c>
      <c r="E124" s="614">
        <v>44798</v>
      </c>
      <c r="F124" s="613" t="s">
        <v>562</v>
      </c>
      <c r="G124" s="612" t="s">
        <v>1108</v>
      </c>
      <c r="H124" s="612"/>
      <c r="I124" s="400" t="s">
        <v>565</v>
      </c>
      <c r="J124" s="400" t="s">
        <v>584</v>
      </c>
      <c r="K124" s="400" t="s">
        <v>585</v>
      </c>
      <c r="L124" s="612" t="s">
        <v>315</v>
      </c>
      <c r="M124" s="400" t="s">
        <v>1109</v>
      </c>
      <c r="N124" s="400">
        <v>2170711</v>
      </c>
      <c r="O124" s="400">
        <v>1054</v>
      </c>
    </row>
    <row r="125" spans="1:15" s="611" customFormat="1" ht="15.75" customHeight="1">
      <c r="A125" s="400" t="s">
        <v>1110</v>
      </c>
      <c r="B125" s="612" t="s">
        <v>1111</v>
      </c>
      <c r="C125" s="400">
        <v>5600000</v>
      </c>
      <c r="D125" s="614">
        <v>44588</v>
      </c>
      <c r="E125" s="614">
        <v>44936</v>
      </c>
      <c r="F125" s="613" t="s">
        <v>562</v>
      </c>
      <c r="G125" s="612" t="s">
        <v>1112</v>
      </c>
      <c r="H125" s="612"/>
      <c r="I125" s="400" t="s">
        <v>565</v>
      </c>
      <c r="J125" s="400" t="s">
        <v>584</v>
      </c>
      <c r="K125" s="400" t="s">
        <v>585</v>
      </c>
      <c r="L125" s="612" t="s">
        <v>362</v>
      </c>
      <c r="M125" s="400" t="s">
        <v>1113</v>
      </c>
      <c r="N125" s="400">
        <v>2170711</v>
      </c>
      <c r="O125" s="400">
        <v>1005</v>
      </c>
    </row>
    <row r="126" spans="1:15" s="611" customFormat="1" ht="15.75" customHeight="1">
      <c r="A126" s="400" t="s">
        <v>1114</v>
      </c>
      <c r="B126" s="612" t="s">
        <v>1115</v>
      </c>
      <c r="C126" s="400">
        <v>4840000</v>
      </c>
      <c r="D126" s="614">
        <v>44588</v>
      </c>
      <c r="E126" s="614">
        <v>44936</v>
      </c>
      <c r="F126" s="613" t="s">
        <v>562</v>
      </c>
      <c r="G126" s="612" t="s">
        <v>1116</v>
      </c>
      <c r="H126" s="612" t="s">
        <v>688</v>
      </c>
      <c r="I126" s="400" t="s">
        <v>565</v>
      </c>
      <c r="J126" s="400" t="s">
        <v>584</v>
      </c>
      <c r="K126" s="400" t="s">
        <v>585</v>
      </c>
      <c r="L126" s="612" t="s">
        <v>362</v>
      </c>
      <c r="M126" s="400" t="s">
        <v>1117</v>
      </c>
      <c r="N126" s="400">
        <v>2170711</v>
      </c>
      <c r="O126" s="400">
        <v>1005</v>
      </c>
    </row>
    <row r="127" spans="1:15" s="611" customFormat="1" ht="15.75" customHeight="1">
      <c r="A127" s="400" t="s">
        <v>1118</v>
      </c>
      <c r="B127" s="612" t="s">
        <v>1051</v>
      </c>
      <c r="C127" s="400">
        <v>2000000</v>
      </c>
      <c r="D127" s="614">
        <v>44588</v>
      </c>
      <c r="E127" s="614">
        <v>44799</v>
      </c>
      <c r="F127" s="613" t="s">
        <v>562</v>
      </c>
      <c r="G127" s="612" t="s">
        <v>1119</v>
      </c>
      <c r="H127" s="612"/>
      <c r="I127" s="400" t="s">
        <v>565</v>
      </c>
      <c r="J127" s="400" t="s">
        <v>584</v>
      </c>
      <c r="K127" s="400" t="s">
        <v>585</v>
      </c>
      <c r="L127" s="612" t="s">
        <v>322</v>
      </c>
      <c r="M127" s="400" t="s">
        <v>1120</v>
      </c>
      <c r="N127" s="400">
        <v>2170711</v>
      </c>
      <c r="O127" s="400">
        <v>1061</v>
      </c>
    </row>
    <row r="128" spans="1:15" s="611" customFormat="1" ht="15.75" customHeight="1">
      <c r="A128" s="400" t="s">
        <v>1121</v>
      </c>
      <c r="B128" s="612" t="s">
        <v>1122</v>
      </c>
      <c r="C128" s="400">
        <v>6000000</v>
      </c>
      <c r="D128" s="614">
        <v>44589</v>
      </c>
      <c r="E128" s="614">
        <v>44800</v>
      </c>
      <c r="F128" s="613" t="s">
        <v>562</v>
      </c>
      <c r="G128" s="612" t="s">
        <v>1123</v>
      </c>
      <c r="H128" s="612" t="s">
        <v>688</v>
      </c>
      <c r="I128" s="400" t="s">
        <v>565</v>
      </c>
      <c r="J128" s="400" t="s">
        <v>584</v>
      </c>
      <c r="K128" s="400" t="s">
        <v>585</v>
      </c>
      <c r="L128" s="612" t="s">
        <v>315</v>
      </c>
      <c r="M128" s="400" t="s">
        <v>1124</v>
      </c>
      <c r="N128" s="400">
        <v>2170711</v>
      </c>
      <c r="O128" s="400">
        <v>1054</v>
      </c>
    </row>
    <row r="129" spans="1:15" s="611" customFormat="1" ht="15.75" customHeight="1">
      <c r="A129" s="400" t="s">
        <v>1125</v>
      </c>
      <c r="B129" s="612" t="s">
        <v>1126</v>
      </c>
      <c r="C129" s="400">
        <v>2944000</v>
      </c>
      <c r="D129" s="614">
        <v>44589</v>
      </c>
      <c r="E129" s="614">
        <v>44769</v>
      </c>
      <c r="F129" s="613" t="s">
        <v>562</v>
      </c>
      <c r="G129" s="612" t="s">
        <v>1127</v>
      </c>
      <c r="H129" s="612"/>
      <c r="I129" s="400" t="s">
        <v>565</v>
      </c>
      <c r="J129" s="400" t="s">
        <v>584</v>
      </c>
      <c r="K129" s="400" t="s">
        <v>585</v>
      </c>
      <c r="L129" s="612" t="s">
        <v>362</v>
      </c>
      <c r="M129" s="400" t="s">
        <v>1128</v>
      </c>
      <c r="N129" s="400">
        <v>2170711</v>
      </c>
      <c r="O129" s="400">
        <v>1005</v>
      </c>
    </row>
    <row r="130" spans="1:15" s="611" customFormat="1" ht="15.75" customHeight="1">
      <c r="A130" s="400" t="s">
        <v>1129</v>
      </c>
      <c r="B130" s="612" t="s">
        <v>1130</v>
      </c>
      <c r="C130" s="400">
        <v>3410000</v>
      </c>
      <c r="D130" s="614">
        <v>44588</v>
      </c>
      <c r="E130" s="614">
        <v>44921</v>
      </c>
      <c r="F130" s="613" t="s">
        <v>562</v>
      </c>
      <c r="G130" s="612" t="s">
        <v>1131</v>
      </c>
      <c r="H130" s="612" t="s">
        <v>1044</v>
      </c>
      <c r="I130" s="400" t="s">
        <v>565</v>
      </c>
      <c r="J130" s="400" t="s">
        <v>584</v>
      </c>
      <c r="K130" s="400" t="s">
        <v>585</v>
      </c>
      <c r="L130" s="612" t="s">
        <v>315</v>
      </c>
      <c r="M130" s="400" t="s">
        <v>1132</v>
      </c>
      <c r="N130" s="400">
        <v>2170711</v>
      </c>
      <c r="O130" s="400">
        <v>1054</v>
      </c>
    </row>
    <row r="131" spans="1:15" s="611" customFormat="1" ht="15.75" customHeight="1">
      <c r="A131" s="400" t="s">
        <v>1133</v>
      </c>
      <c r="B131" s="612" t="s">
        <v>1059</v>
      </c>
      <c r="C131" s="400">
        <v>2000000</v>
      </c>
      <c r="D131" s="614">
        <v>44588</v>
      </c>
      <c r="E131" s="614">
        <v>44799</v>
      </c>
      <c r="F131" s="613" t="s">
        <v>562</v>
      </c>
      <c r="G131" s="612" t="s">
        <v>477</v>
      </c>
      <c r="H131" s="612" t="s">
        <v>893</v>
      </c>
      <c r="I131" s="400" t="s">
        <v>565</v>
      </c>
      <c r="J131" s="400" t="s">
        <v>584</v>
      </c>
      <c r="K131" s="400" t="s">
        <v>585</v>
      </c>
      <c r="L131" s="612" t="s">
        <v>315</v>
      </c>
      <c r="M131" s="400" t="s">
        <v>1134</v>
      </c>
      <c r="N131" s="400">
        <v>2170711</v>
      </c>
      <c r="O131" s="400">
        <v>1054</v>
      </c>
    </row>
    <row r="132" spans="1:15" s="611" customFormat="1" ht="15.75" customHeight="1">
      <c r="A132" s="400" t="s">
        <v>1135</v>
      </c>
      <c r="B132" s="612" t="s">
        <v>1136</v>
      </c>
      <c r="C132" s="400">
        <v>6000000</v>
      </c>
      <c r="D132" s="614">
        <v>44588</v>
      </c>
      <c r="E132" s="614">
        <v>44921</v>
      </c>
      <c r="F132" s="613" t="s">
        <v>562</v>
      </c>
      <c r="G132" s="612" t="s">
        <v>1137</v>
      </c>
      <c r="H132" s="612" t="s">
        <v>573</v>
      </c>
      <c r="I132" s="400" t="s">
        <v>565</v>
      </c>
      <c r="J132" s="400" t="s">
        <v>584</v>
      </c>
      <c r="K132" s="400" t="s">
        <v>585</v>
      </c>
      <c r="L132" s="612" t="s">
        <v>315</v>
      </c>
      <c r="M132" s="400" t="s">
        <v>1138</v>
      </c>
      <c r="N132" s="400">
        <v>2170711</v>
      </c>
      <c r="O132" s="400">
        <v>1054</v>
      </c>
    </row>
    <row r="133" spans="1:15" s="611" customFormat="1" ht="15.75" customHeight="1">
      <c r="A133" s="400" t="s">
        <v>1139</v>
      </c>
      <c r="B133" s="612" t="s">
        <v>1140</v>
      </c>
      <c r="C133" s="400">
        <v>3000000</v>
      </c>
      <c r="D133" s="614">
        <v>44588</v>
      </c>
      <c r="E133" s="614">
        <v>44768</v>
      </c>
      <c r="F133" s="613" t="s">
        <v>562</v>
      </c>
      <c r="G133" s="612" t="s">
        <v>615</v>
      </c>
      <c r="H133" s="612" t="s">
        <v>573</v>
      </c>
      <c r="I133" s="400" t="s">
        <v>565</v>
      </c>
      <c r="J133" s="400" t="s">
        <v>584</v>
      </c>
      <c r="K133" s="400" t="s">
        <v>585</v>
      </c>
      <c r="L133" s="612" t="s">
        <v>362</v>
      </c>
      <c r="M133" s="400" t="s">
        <v>1141</v>
      </c>
      <c r="N133" s="400">
        <v>2170711</v>
      </c>
      <c r="O133" s="400">
        <v>1005</v>
      </c>
    </row>
    <row r="134" spans="1:15" s="611" customFormat="1" ht="15.75" customHeight="1">
      <c r="A134" s="400" t="s">
        <v>1142</v>
      </c>
      <c r="B134" s="612" t="s">
        <v>1143</v>
      </c>
      <c r="C134" s="400">
        <v>2000000</v>
      </c>
      <c r="D134" s="614">
        <v>44589</v>
      </c>
      <c r="E134" s="614">
        <v>44800</v>
      </c>
      <c r="F134" s="613" t="s">
        <v>562</v>
      </c>
      <c r="G134" s="612" t="s">
        <v>1108</v>
      </c>
      <c r="H134" s="612" t="s">
        <v>573</v>
      </c>
      <c r="I134" s="400" t="s">
        <v>565</v>
      </c>
      <c r="J134" s="400" t="s">
        <v>584</v>
      </c>
      <c r="K134" s="400" t="s">
        <v>585</v>
      </c>
      <c r="L134" s="612" t="s">
        <v>315</v>
      </c>
      <c r="M134" s="400" t="s">
        <v>1144</v>
      </c>
      <c r="N134" s="400">
        <v>2170711</v>
      </c>
      <c r="O134" s="400">
        <v>1054</v>
      </c>
    </row>
    <row r="135" spans="1:15" s="611" customFormat="1" ht="15.75" customHeight="1">
      <c r="A135" s="400" t="s">
        <v>1145</v>
      </c>
      <c r="B135" s="612" t="s">
        <v>1143</v>
      </c>
      <c r="C135" s="400">
        <v>3500000</v>
      </c>
      <c r="D135" s="614">
        <v>44588</v>
      </c>
      <c r="E135" s="614">
        <v>44799</v>
      </c>
      <c r="F135" s="613" t="s">
        <v>562</v>
      </c>
      <c r="G135" s="612" t="s">
        <v>830</v>
      </c>
      <c r="H135" s="612" t="s">
        <v>573</v>
      </c>
      <c r="I135" s="400" t="s">
        <v>565</v>
      </c>
      <c r="J135" s="400" t="s">
        <v>584</v>
      </c>
      <c r="K135" s="400" t="s">
        <v>585</v>
      </c>
      <c r="L135" s="612" t="s">
        <v>315</v>
      </c>
      <c r="M135" s="400" t="s">
        <v>1146</v>
      </c>
      <c r="N135" s="400">
        <v>2170711</v>
      </c>
      <c r="O135" s="400">
        <v>1054</v>
      </c>
    </row>
    <row r="136" spans="1:15" s="611" customFormat="1" ht="15.75" customHeight="1">
      <c r="A136" s="400" t="s">
        <v>1147</v>
      </c>
      <c r="B136" s="612" t="s">
        <v>1148</v>
      </c>
      <c r="C136" s="400">
        <v>2500000</v>
      </c>
      <c r="D136" s="614">
        <v>44588</v>
      </c>
      <c r="E136" s="614">
        <v>44830</v>
      </c>
      <c r="F136" s="613" t="s">
        <v>562</v>
      </c>
      <c r="G136" s="612" t="s">
        <v>1149</v>
      </c>
      <c r="H136" s="612" t="s">
        <v>573</v>
      </c>
      <c r="I136" s="400" t="s">
        <v>565</v>
      </c>
      <c r="J136" s="400" t="s">
        <v>584</v>
      </c>
      <c r="K136" s="400" t="s">
        <v>585</v>
      </c>
      <c r="L136" s="612" t="s">
        <v>632</v>
      </c>
      <c r="M136" s="400" t="s">
        <v>1150</v>
      </c>
      <c r="N136" s="400">
        <v>2170711</v>
      </c>
      <c r="O136" s="400">
        <v>1046</v>
      </c>
    </row>
    <row r="137" spans="1:15" s="611" customFormat="1" ht="15.75" customHeight="1">
      <c r="A137" s="400" t="s">
        <v>1151</v>
      </c>
      <c r="B137" s="612" t="s">
        <v>1152</v>
      </c>
      <c r="C137" s="400">
        <v>2000000</v>
      </c>
      <c r="D137" s="614">
        <v>44588</v>
      </c>
      <c r="E137" s="614">
        <v>44707</v>
      </c>
      <c r="F137" s="613" t="s">
        <v>562</v>
      </c>
      <c r="G137" s="612" t="s">
        <v>477</v>
      </c>
      <c r="H137" s="612" t="s">
        <v>1039</v>
      </c>
      <c r="I137" s="400" t="s">
        <v>565</v>
      </c>
      <c r="J137" s="400" t="s">
        <v>584</v>
      </c>
      <c r="K137" s="400" t="s">
        <v>585</v>
      </c>
      <c r="L137" s="612" t="s">
        <v>322</v>
      </c>
      <c r="M137" s="400" t="s">
        <v>1153</v>
      </c>
      <c r="N137" s="400">
        <v>2170711</v>
      </c>
      <c r="O137" s="400">
        <v>1061</v>
      </c>
    </row>
    <row r="138" spans="1:15" s="611" customFormat="1" ht="15.75" customHeight="1">
      <c r="A138" s="400" t="s">
        <v>1154</v>
      </c>
      <c r="B138" s="612" t="s">
        <v>1155</v>
      </c>
      <c r="C138" s="400">
        <v>9000000</v>
      </c>
      <c r="D138" s="614">
        <v>44589</v>
      </c>
      <c r="E138" s="614">
        <v>44800</v>
      </c>
      <c r="F138" s="613" t="s">
        <v>562</v>
      </c>
      <c r="G138" s="612" t="s">
        <v>1156</v>
      </c>
      <c r="H138" s="612" t="s">
        <v>573</v>
      </c>
      <c r="I138" s="400" t="s">
        <v>565</v>
      </c>
      <c r="J138" s="400" t="s">
        <v>584</v>
      </c>
      <c r="K138" s="400" t="s">
        <v>585</v>
      </c>
      <c r="L138" s="612" t="s">
        <v>315</v>
      </c>
      <c r="M138" s="400" t="s">
        <v>1157</v>
      </c>
      <c r="N138" s="400">
        <v>2170711</v>
      </c>
      <c r="O138" s="400">
        <v>1054</v>
      </c>
    </row>
    <row r="139" spans="1:15" s="611" customFormat="1" ht="15.75" customHeight="1">
      <c r="A139" s="400" t="s">
        <v>1158</v>
      </c>
      <c r="B139" s="612" t="s">
        <v>1159</v>
      </c>
      <c r="C139" s="400">
        <v>3100000</v>
      </c>
      <c r="D139" s="614">
        <v>44589</v>
      </c>
      <c r="E139" s="614">
        <v>44938</v>
      </c>
      <c r="F139" s="613" t="s">
        <v>562</v>
      </c>
      <c r="G139" s="612" t="s">
        <v>1160</v>
      </c>
      <c r="H139" s="612"/>
      <c r="I139" s="400" t="s">
        <v>565</v>
      </c>
      <c r="J139" s="400" t="s">
        <v>584</v>
      </c>
      <c r="K139" s="400" t="s">
        <v>585</v>
      </c>
      <c r="L139" s="612" t="s">
        <v>362</v>
      </c>
      <c r="M139" s="400" t="s">
        <v>1161</v>
      </c>
      <c r="N139" s="400">
        <v>2170711</v>
      </c>
      <c r="O139" s="400">
        <v>1005</v>
      </c>
    </row>
    <row r="140" spans="1:15" s="611" customFormat="1" ht="15.75" customHeight="1">
      <c r="A140" s="400" t="s">
        <v>1162</v>
      </c>
      <c r="B140" s="612" t="s">
        <v>1163</v>
      </c>
      <c r="C140" s="400">
        <v>6000000</v>
      </c>
      <c r="D140" s="614">
        <v>44589</v>
      </c>
      <c r="E140" s="614">
        <v>44800</v>
      </c>
      <c r="F140" s="613" t="s">
        <v>562</v>
      </c>
      <c r="G140" s="612" t="s">
        <v>1164</v>
      </c>
      <c r="H140" s="612"/>
      <c r="I140" s="400" t="s">
        <v>565</v>
      </c>
      <c r="J140" s="400" t="s">
        <v>584</v>
      </c>
      <c r="K140" s="400" t="s">
        <v>585</v>
      </c>
      <c r="L140" s="612" t="s">
        <v>362</v>
      </c>
      <c r="M140" s="400" t="s">
        <v>1165</v>
      </c>
      <c r="N140" s="400">
        <v>2170711</v>
      </c>
      <c r="O140" s="400">
        <v>1005</v>
      </c>
    </row>
    <row r="141" spans="1:15" s="611" customFormat="1" ht="15.75" customHeight="1">
      <c r="A141" s="400" t="s">
        <v>1166</v>
      </c>
      <c r="B141" s="612" t="s">
        <v>1167</v>
      </c>
      <c r="C141" s="400">
        <v>8000000</v>
      </c>
      <c r="D141" s="614">
        <v>44588</v>
      </c>
      <c r="E141" s="614">
        <v>44799</v>
      </c>
      <c r="F141" s="613" t="s">
        <v>562</v>
      </c>
      <c r="G141" s="612" t="s">
        <v>881</v>
      </c>
      <c r="H141" s="612" t="s">
        <v>1168</v>
      </c>
      <c r="I141" s="400" t="s">
        <v>565</v>
      </c>
      <c r="J141" s="400" t="s">
        <v>584</v>
      </c>
      <c r="K141" s="400" t="s">
        <v>585</v>
      </c>
      <c r="L141" s="612" t="s">
        <v>315</v>
      </c>
      <c r="M141" s="400" t="s">
        <v>1086</v>
      </c>
      <c r="N141" s="400">
        <v>2170711</v>
      </c>
      <c r="O141" s="400">
        <v>1054</v>
      </c>
    </row>
    <row r="142" spans="1:15" s="611" customFormat="1" ht="15.75" customHeight="1">
      <c r="A142" s="400" t="s">
        <v>1169</v>
      </c>
      <c r="B142" s="612" t="s">
        <v>1170</v>
      </c>
      <c r="C142" s="400">
        <v>3000000</v>
      </c>
      <c r="D142" s="614">
        <v>44589</v>
      </c>
      <c r="E142" s="614">
        <v>44678</v>
      </c>
      <c r="F142" s="613" t="s">
        <v>562</v>
      </c>
      <c r="G142" s="612" t="s">
        <v>1164</v>
      </c>
      <c r="H142" s="612"/>
      <c r="I142" s="400" t="s">
        <v>565</v>
      </c>
      <c r="J142" s="400" t="s">
        <v>584</v>
      </c>
      <c r="K142" s="400" t="s">
        <v>585</v>
      </c>
      <c r="L142" s="612" t="s">
        <v>632</v>
      </c>
      <c r="M142" s="400" t="s">
        <v>1171</v>
      </c>
      <c r="N142" s="400">
        <v>2170711</v>
      </c>
      <c r="O142" s="400">
        <v>1046</v>
      </c>
    </row>
    <row r="143" spans="1:15" s="611" customFormat="1" ht="15.75" customHeight="1">
      <c r="A143" s="400" t="s">
        <v>1172</v>
      </c>
      <c r="B143" s="612" t="s">
        <v>1173</v>
      </c>
      <c r="C143" s="400">
        <v>8000000</v>
      </c>
      <c r="D143" s="614">
        <v>44589</v>
      </c>
      <c r="E143" s="614">
        <v>44892</v>
      </c>
      <c r="F143" s="613" t="s">
        <v>562</v>
      </c>
      <c r="G143" s="612" t="s">
        <v>1174</v>
      </c>
      <c r="H143" s="612" t="s">
        <v>660</v>
      </c>
      <c r="I143" s="400" t="s">
        <v>565</v>
      </c>
      <c r="J143" s="400" t="s">
        <v>584</v>
      </c>
      <c r="K143" s="400" t="s">
        <v>585</v>
      </c>
      <c r="L143" s="612" t="s">
        <v>632</v>
      </c>
      <c r="M143" s="400" t="s">
        <v>1175</v>
      </c>
      <c r="N143" s="400">
        <v>2170711</v>
      </c>
      <c r="O143" s="400">
        <v>1046</v>
      </c>
    </row>
    <row r="144" spans="1:15" s="611" customFormat="1" ht="15.75" customHeight="1">
      <c r="A144" s="400" t="s">
        <v>1176</v>
      </c>
      <c r="B144" s="612" t="s">
        <v>1177</v>
      </c>
      <c r="C144" s="400">
        <v>4500000</v>
      </c>
      <c r="D144" s="614">
        <v>44589</v>
      </c>
      <c r="E144" s="614">
        <v>44800</v>
      </c>
      <c r="F144" s="613" t="s">
        <v>562</v>
      </c>
      <c r="G144" s="612" t="s">
        <v>1178</v>
      </c>
      <c r="H144" s="612" t="s">
        <v>573</v>
      </c>
      <c r="I144" s="400" t="s">
        <v>565</v>
      </c>
      <c r="J144" s="400" t="s">
        <v>584</v>
      </c>
      <c r="K144" s="400" t="s">
        <v>585</v>
      </c>
      <c r="L144" s="612" t="s">
        <v>632</v>
      </c>
      <c r="M144" s="400" t="s">
        <v>1179</v>
      </c>
      <c r="N144" s="400">
        <v>2170711</v>
      </c>
      <c r="O144" s="400">
        <v>1046</v>
      </c>
    </row>
    <row r="145" spans="1:15" s="611" customFormat="1" ht="15.75" customHeight="1">
      <c r="A145" s="400" t="s">
        <v>1180</v>
      </c>
      <c r="B145" s="612" t="s">
        <v>1181</v>
      </c>
      <c r="C145" s="400">
        <v>2940000</v>
      </c>
      <c r="D145" s="614">
        <v>44589</v>
      </c>
      <c r="E145" s="614">
        <v>44892</v>
      </c>
      <c r="F145" s="613" t="s">
        <v>562</v>
      </c>
      <c r="G145" s="612" t="s">
        <v>1182</v>
      </c>
      <c r="H145" s="612" t="s">
        <v>573</v>
      </c>
      <c r="I145" s="400" t="s">
        <v>565</v>
      </c>
      <c r="J145" s="400" t="s">
        <v>584</v>
      </c>
      <c r="K145" s="400" t="s">
        <v>585</v>
      </c>
      <c r="L145" s="612" t="s">
        <v>632</v>
      </c>
      <c r="M145" s="400" t="s">
        <v>1183</v>
      </c>
      <c r="N145" s="400">
        <v>2170711</v>
      </c>
      <c r="O145" s="400">
        <v>1046</v>
      </c>
    </row>
    <row r="146" spans="1:15" s="611" customFormat="1" ht="15.75" customHeight="1">
      <c r="A146" s="400" t="s">
        <v>1184</v>
      </c>
      <c r="B146" s="612" t="s">
        <v>1152</v>
      </c>
      <c r="C146" s="400">
        <v>2000000</v>
      </c>
      <c r="D146" s="614">
        <v>44589</v>
      </c>
      <c r="E146" s="614">
        <v>44831</v>
      </c>
      <c r="F146" s="613" t="s">
        <v>562</v>
      </c>
      <c r="G146" s="612" t="s">
        <v>477</v>
      </c>
      <c r="H146" s="612"/>
      <c r="I146" s="400" t="s">
        <v>565</v>
      </c>
      <c r="J146" s="400" t="s">
        <v>584</v>
      </c>
      <c r="K146" s="400" t="s">
        <v>585</v>
      </c>
      <c r="L146" s="612" t="s">
        <v>322</v>
      </c>
      <c r="M146" s="400" t="s">
        <v>1185</v>
      </c>
      <c r="N146" s="400">
        <v>2170711</v>
      </c>
      <c r="O146" s="400">
        <v>1061</v>
      </c>
    </row>
    <row r="147" spans="1:15" s="611" customFormat="1" ht="15.75" customHeight="1">
      <c r="A147" s="400" t="s">
        <v>1186</v>
      </c>
      <c r="B147" s="612" t="s">
        <v>1187</v>
      </c>
      <c r="C147" s="400">
        <v>3500000</v>
      </c>
      <c r="D147" s="614">
        <v>44589</v>
      </c>
      <c r="E147" s="614">
        <v>44831</v>
      </c>
      <c r="F147" s="613" t="s">
        <v>562</v>
      </c>
      <c r="G147" s="612" t="s">
        <v>1188</v>
      </c>
      <c r="H147" s="612" t="s">
        <v>573</v>
      </c>
      <c r="I147" s="400" t="s">
        <v>565</v>
      </c>
      <c r="J147" s="400" t="s">
        <v>584</v>
      </c>
      <c r="K147" s="400" t="s">
        <v>585</v>
      </c>
      <c r="L147" s="612" t="s">
        <v>315</v>
      </c>
      <c r="M147" s="400" t="s">
        <v>1007</v>
      </c>
      <c r="N147" s="400">
        <v>2170711</v>
      </c>
      <c r="O147" s="400">
        <v>1054</v>
      </c>
    </row>
    <row r="148" spans="1:15" s="611" customFormat="1" ht="15.75" customHeight="1">
      <c r="A148" s="400" t="s">
        <v>1189</v>
      </c>
      <c r="B148" s="612" t="s">
        <v>1190</v>
      </c>
      <c r="C148" s="400">
        <v>4400000</v>
      </c>
      <c r="D148" s="614">
        <v>44589</v>
      </c>
      <c r="E148" s="614">
        <v>44678</v>
      </c>
      <c r="F148" s="613" t="s">
        <v>562</v>
      </c>
      <c r="G148" s="612" t="s">
        <v>477</v>
      </c>
      <c r="H148" s="612"/>
      <c r="I148" s="400" t="s">
        <v>565</v>
      </c>
      <c r="J148" s="400" t="s">
        <v>584</v>
      </c>
      <c r="K148" s="400" t="s">
        <v>585</v>
      </c>
      <c r="L148" s="612" t="s">
        <v>322</v>
      </c>
      <c r="M148" s="400" t="s">
        <v>1191</v>
      </c>
      <c r="N148" s="400">
        <v>2170711</v>
      </c>
      <c r="O148" s="400">
        <v>1061</v>
      </c>
    </row>
    <row r="149" spans="1:15" s="611" customFormat="1" ht="15.75" customHeight="1">
      <c r="A149" s="400" t="s">
        <v>1192</v>
      </c>
      <c r="B149" s="612" t="s">
        <v>1193</v>
      </c>
      <c r="C149" s="400">
        <v>5000000</v>
      </c>
      <c r="D149" s="614">
        <v>44589</v>
      </c>
      <c r="E149" s="614">
        <v>44800</v>
      </c>
      <c r="F149" s="613" t="s">
        <v>562</v>
      </c>
      <c r="G149" s="612" t="s">
        <v>1178</v>
      </c>
      <c r="H149" s="612" t="s">
        <v>573</v>
      </c>
      <c r="I149" s="400" t="s">
        <v>565</v>
      </c>
      <c r="J149" s="400" t="s">
        <v>584</v>
      </c>
      <c r="K149" s="400" t="s">
        <v>585</v>
      </c>
      <c r="L149" s="612" t="s">
        <v>632</v>
      </c>
      <c r="M149" s="400" t="s">
        <v>1194</v>
      </c>
      <c r="N149" s="400">
        <v>2170711</v>
      </c>
      <c r="O149" s="400">
        <v>1046</v>
      </c>
    </row>
    <row r="150" spans="1:15" s="611" customFormat="1" ht="15.75" customHeight="1">
      <c r="A150" s="400" t="s">
        <v>1195</v>
      </c>
      <c r="B150" s="612" t="s">
        <v>1196</v>
      </c>
      <c r="C150" s="400">
        <v>4500000</v>
      </c>
      <c r="D150" s="614">
        <v>44589</v>
      </c>
      <c r="E150" s="614">
        <v>44769</v>
      </c>
      <c r="F150" s="613" t="s">
        <v>562</v>
      </c>
      <c r="G150" s="612">
        <v>0</v>
      </c>
      <c r="H150" s="612"/>
      <c r="I150" s="400" t="s">
        <v>565</v>
      </c>
      <c r="J150" s="400" t="s">
        <v>584</v>
      </c>
      <c r="K150" s="400" t="s">
        <v>585</v>
      </c>
      <c r="L150" s="612" t="s">
        <v>322</v>
      </c>
      <c r="M150" s="400" t="s">
        <v>1197</v>
      </c>
      <c r="N150" s="400">
        <v>2170711</v>
      </c>
      <c r="O150" s="400">
        <v>1061</v>
      </c>
    </row>
    <row r="151" spans="1:15" s="611" customFormat="1" ht="15.75" customHeight="1">
      <c r="A151" s="400" t="s">
        <v>1198</v>
      </c>
      <c r="B151" s="612" t="s">
        <v>1199</v>
      </c>
      <c r="C151" s="400">
        <v>3000000</v>
      </c>
      <c r="D151" s="614">
        <v>44589</v>
      </c>
      <c r="E151" s="614">
        <v>44678</v>
      </c>
      <c r="F151" s="613" t="s">
        <v>562</v>
      </c>
      <c r="G151" s="612" t="s">
        <v>1200</v>
      </c>
      <c r="H151" s="612" t="s">
        <v>573</v>
      </c>
      <c r="I151" s="400" t="s">
        <v>565</v>
      </c>
      <c r="J151" s="400" t="s">
        <v>584</v>
      </c>
      <c r="K151" s="400" t="s">
        <v>585</v>
      </c>
      <c r="L151" s="612" t="s">
        <v>632</v>
      </c>
      <c r="M151" s="400" t="s">
        <v>1201</v>
      </c>
      <c r="N151" s="400">
        <v>2170711</v>
      </c>
      <c r="O151" s="400">
        <v>1046</v>
      </c>
    </row>
    <row r="152" spans="1:15" s="611" customFormat="1" ht="15.75" customHeight="1">
      <c r="A152" s="400" t="s">
        <v>1202</v>
      </c>
      <c r="B152" s="612" t="s">
        <v>1203</v>
      </c>
      <c r="C152" s="400">
        <v>4000000</v>
      </c>
      <c r="D152" s="614">
        <v>44589</v>
      </c>
      <c r="E152" s="614">
        <v>44769</v>
      </c>
      <c r="F152" s="613" t="s">
        <v>562</v>
      </c>
      <c r="G152" s="612">
        <v>0</v>
      </c>
      <c r="H152" s="612"/>
      <c r="I152" s="400" t="s">
        <v>565</v>
      </c>
      <c r="J152" s="400" t="s">
        <v>584</v>
      </c>
      <c r="K152" s="400" t="s">
        <v>585</v>
      </c>
      <c r="L152" s="612" t="s">
        <v>322</v>
      </c>
      <c r="M152" s="400" t="s">
        <v>1204</v>
      </c>
      <c r="N152" s="400">
        <v>2170711</v>
      </c>
      <c r="O152" s="400">
        <v>1061</v>
      </c>
    </row>
    <row r="153" s="611" customFormat="1" ht="11.25"/>
    <row r="154" ht="12.75"/>
  </sheetData>
  <sheetProtection/>
  <mergeCells count="1">
    <mergeCell ref="A1:O2"/>
  </mergeCells>
  <hyperlinks>
    <hyperlink ref="M4" r:id="rId1" display="gustavo.hernandez@idt.gov.co"/>
    <hyperlink ref="M5" r:id="rId2" display="andrea.buitrago@idt.gov.co"/>
    <hyperlink ref="M6" r:id="rId3" display="gladys.mendoza@idt.gov.co"/>
    <hyperlink ref="M7" r:id="rId4" display="juan.gacharna@idt.gov.co"/>
    <hyperlink ref="M8" r:id="rId5" display="cindy.calderon@idt.gov.co"/>
    <hyperlink ref="M9" r:id="rId6" display="daniel.guerrero@idt.gov.co"/>
    <hyperlink ref="M10" r:id="rId7" display="maria.gomez@idt.gov.co"/>
    <hyperlink ref="M11" r:id="rId8" display="viviana.marcela@idt.gov.co"/>
    <hyperlink ref="M12" r:id="rId9" display="zeida.bohorquez@idt.gov.co"/>
    <hyperlink ref="M13" r:id="rId10" display="camila.rocha@idt.gov.co"/>
    <hyperlink ref="M14" r:id="rId11" display="jennifer.mogollon@idt.gov.co"/>
    <hyperlink ref="M15" r:id="rId12" display="william.martinez@idt.gov.co"/>
    <hyperlink ref="M16" r:id="rId13" display="johana.lamilla@idt.gov.co"/>
    <hyperlink ref="M17" r:id="rId14" display="kattia.pinzon@idt.gov.co"/>
    <hyperlink ref="M18" r:id="rId15" display="paola.sanchez@idt.gov.co"/>
    <hyperlink ref="M19" r:id="rId16" display="myriam.bocarejo@idt.gov.co"/>
    <hyperlink ref="M20" r:id="rId17" display="david.ruiz@idt.gov.co"/>
    <hyperlink ref="M21" r:id="rId18" display="hector.narvaez@idt.gov.co"/>
    <hyperlink ref="M22" r:id="rId19" display="ivon.arias@idt.gov.co"/>
    <hyperlink ref="M23" r:id="rId20" display="luis.ramirez@idt.gov.co"/>
    <hyperlink ref="M24" r:id="rId21" display="paula.martinez@idt.gov.co"/>
    <hyperlink ref="M25" r:id="rId22" display="laura.monroy@idt.gov.co"/>
    <hyperlink ref="M26" r:id="rId23" display="marcos.rodriguez@idt.gov.co"/>
    <hyperlink ref="M27" r:id="rId24" display="luz.beltran@idt.gov.co"/>
    <hyperlink ref="M28" r:id="rId25" display="johan.carvajal@idt.gov.co"/>
    <hyperlink ref="M29" r:id="rId26" display="jessica.angel@idt.gov.co"/>
    <hyperlink ref="M30" r:id="rId27" display="guillermo.ramirez@idt.gov.co"/>
    <hyperlink ref="M31" r:id="rId28" display="cristian.diaz@idt.gov.co"/>
    <hyperlink ref="M32" r:id="rId29" display="valeria.muñeton@idt.gov.co"/>
    <hyperlink ref="M33" r:id="rId30" display="karina.celon@idt.gov.co"/>
    <hyperlink ref="M34" r:id="rId31" display="angie.alvarado@idt.gov.co"/>
    <hyperlink ref="M35" r:id="rId32" display="kris.zapata@idt.gov.co"/>
    <hyperlink ref="M36" r:id="rId33" display="maria.villota@idt.gov.co"/>
    <hyperlink ref="M37" r:id="rId34" display="martha.ramirez@idt.gov.co"/>
    <hyperlink ref="M38" r:id="rId35" display="claudia.gonzalez@idt.gov.co"/>
    <hyperlink ref="M39" r:id="rId36" display="fredy.carrera@idt.gov.co"/>
    <hyperlink ref="M40" r:id="rId37" display="loreydy.daza@idt.gov.co"/>
    <hyperlink ref="M41" r:id="rId38" display="david.zuluaga@idt.gov.co"/>
    <hyperlink ref="M42" r:id="rId39" display="alison.bernal@idt.gov.co"/>
    <hyperlink ref="M43" r:id="rId40" display="camila.rodriguez@idt.gov.co"/>
    <hyperlink ref="M44" r:id="rId41" display="lina.losada@idt.gov.co"/>
    <hyperlink ref="M45" r:id="rId42" display="ana.garcia@idt.gov.co"/>
    <hyperlink ref="M46" r:id="rId43" display="lesly.chacon@idt.gov.co"/>
    <hyperlink ref="M47" r:id="rId44" display="briyith.reyes@idt.gov.co"/>
    <hyperlink ref="M48" r:id="rId45" display="andres.espinosa@idt.gov.co"/>
    <hyperlink ref="M49" r:id="rId46" display="viviana.florez@idt.gov.co"/>
    <hyperlink ref="M50" r:id="rId47" display="diana.sanchez@idt.gov.co"/>
    <hyperlink ref="M51" r:id="rId48" display="leonel.carrillo@idt.gov.co"/>
    <hyperlink ref="M52" r:id="rId49" display="maria.aguilera@idt.gov.co"/>
    <hyperlink ref="M53" r:id="rId50" display="ayda.rodriguez@idt.gov.co"/>
    <hyperlink ref="M54" r:id="rId51" display="carlos.florez@idt.gov.co"/>
    <hyperlink ref="M55" r:id="rId52" display="nancy.vargas@idt.gov.co"/>
    <hyperlink ref="M56" r:id="rId53" display="bismarck.caicedo@idt.gov.co"/>
    <hyperlink ref="M57" r:id="rId54" display="hector.garcia@idt.gov.co"/>
    <hyperlink ref="M58" r:id="rId55" display="jose.torres@idt.gov.co"/>
    <hyperlink ref="M59" r:id="rId56" display="victor.fernandez@idt.gov.co"/>
    <hyperlink ref="M60" r:id="rId57" display="luis.moncaleano@idt.gov.co"/>
    <hyperlink ref="M61" r:id="rId58" display="natalia.bocanegra@idt.gov.co"/>
    <hyperlink ref="M62" r:id="rId59" display="diego.rodriguez@idt.gov.co"/>
    <hyperlink ref="M63" r:id="rId60" display="jhon.muñoz@idt.gov.co"/>
    <hyperlink ref="M64" r:id="rId61" display="catalina.orjuela@idt.gov.co"/>
    <hyperlink ref="M65" r:id="rId62" display="andres.castellanos@idt.gov.co"/>
    <hyperlink ref="M66" r:id="rId63" display="camila.gomez@idt.gov.co"/>
    <hyperlink ref="M67" r:id="rId64" display="angela.pantoja@idt.gov.co"/>
    <hyperlink ref="M68" r:id="rId65" display="laura.mirque@idt.gov.co"/>
    <hyperlink ref="M69" r:id="rId66" display="diana.rozo@idt.gov.co"/>
    <hyperlink ref="M70" r:id="rId67" display="mile.piñeros@idt.gov.co"/>
    <hyperlink ref="M71" r:id="rId68" display="jose.becerra@idt.gov.co"/>
    <hyperlink ref="M72" r:id="rId69" display="maria.bejarano@idt.gov.co"/>
    <hyperlink ref="M73" r:id="rId70" display="katheryn.cabrera@idt.gov.co"/>
    <hyperlink ref="M74" r:id="rId71" display="erick.pinzon@idt.gov.co"/>
    <hyperlink ref="M75" r:id="rId72" display="sergio.arevalo@idt.gov.co"/>
    <hyperlink ref="M76" r:id="rId73" display="lorena.mora@idt.gov.co"/>
    <hyperlink ref="M77" r:id="rId74" display="flor.ostos@idt.gov.co"/>
    <hyperlink ref="M78" r:id="rId75" display="moises.rojas@idt.gov.co"/>
    <hyperlink ref="M79" r:id="rId76" display="carolina.caceres@idt.gov.co"/>
    <hyperlink ref="M80" r:id="rId77" display="luis.calderon@idt.gov.co"/>
    <hyperlink ref="M81" r:id="rId78" display="abel.bernal@idt.gov.co"/>
    <hyperlink ref="M82" r:id="rId79" display="angelica.cardenas@idt.gov.co"/>
    <hyperlink ref="M83" r:id="rId80" display="martha.castellanos@idt.gov.co"/>
    <hyperlink ref="M84" r:id="rId81" display="rocio.melo@idt.gov.co"/>
    <hyperlink ref="M85" r:id="rId82" display="julio.murcia@idt.gov.co"/>
    <hyperlink ref="M86" r:id="rId83" display="martha.correa@idt.gov.co"/>
    <hyperlink ref="M87" r:id="rId84" display="yenny.ortiz@idt.gov.co"/>
    <hyperlink ref="M88" r:id="rId85" display="daniel.hernandez@idt.gov.co"/>
    <hyperlink ref="M89" r:id="rId86" display="natalia.cadena@idt.gov.co"/>
    <hyperlink ref="M90" r:id="rId87" display="douglas.chanaga@idt.gov.co"/>
    <hyperlink ref="M91" r:id="rId88" display="edwin.vergara@idt.gov.co"/>
    <hyperlink ref="M92" r:id="rId89" display="natalia.valencia@idt.gov.co"/>
    <hyperlink ref="M93" r:id="rId90" display="yineth.vargas@idt.gov.co"/>
    <hyperlink ref="M94" r:id="rId91" display="jesus.vargas@idt.gov.co"/>
    <hyperlink ref="M95" r:id="rId92" display="angelica.reyes@idt.gov.co"/>
    <hyperlink ref="M96" r:id="rId93" display="myriam.montaño@idt.gov.co"/>
    <hyperlink ref="M97" r:id="rId94" display="maira.robles@idt.gov.co"/>
    <hyperlink ref="M98" r:id="rId95" display="edward.suarez@idt.gov.co"/>
    <hyperlink ref="M99" r:id="rId96" display="andres.tellez@idt.gov.co"/>
    <hyperlink ref="M100" r:id="rId97" display="ginna.rodriguez@idt.gov.co"/>
    <hyperlink ref="M101" r:id="rId98" display="carlos.candela@idt.gov.co"/>
    <hyperlink ref="M102" r:id="rId99" display="germán.garcía@idt.gov.co"/>
    <hyperlink ref="M103" r:id="rId100" display="paula.echeverri@idt.gov.co"/>
    <hyperlink ref="M104" r:id="rId101" display="ruby.bonilla@idt.gov.co"/>
    <hyperlink ref="M105" r:id="rId102" display="luis.gómez@idt.gov.co"/>
    <hyperlink ref="M106" r:id="rId103" display="jhon.acuña@idt.gov.co"/>
    <hyperlink ref="M107" r:id="rId104" display="ivan.diaz@idt.gov.co"/>
    <hyperlink ref="M108" r:id="rId105" display="julian.roncancio@idt.gov.co"/>
    <hyperlink ref="M109" r:id="rId106" display="lorena.moreno@idt.gov.co"/>
    <hyperlink ref="M110" r:id="rId107" display="lorena.hernandez@idt.gov.co"/>
    <hyperlink ref="M111" r:id="rId108" display="weimar.rojas@idt.gov.co"/>
    <hyperlink ref="M112" r:id="rId109" display="freiman.martin@idt.gov.co"/>
    <hyperlink ref="M113" r:id="rId110" display="alberto.garcia@idt.gov.co"/>
    <hyperlink ref="M114" r:id="rId111" display="ruben.paz@idt.gov.co"/>
    <hyperlink ref="M115" r:id="rId112" display="estephanni.castañeda@idt.gov.co"/>
    <hyperlink ref="M116" r:id="rId113" display="santiago.aviles@idt.gov.co"/>
    <hyperlink ref="M117" r:id="rId114" display="nestor.goyes@idt.gov.co"/>
    <hyperlink ref="M118" r:id="rId115" display="jorge.moreno@idt.gov.co"/>
    <hyperlink ref="M119" r:id="rId116" display="renzo.renzo@idt.gov.co"/>
    <hyperlink ref="M120" r:id="rId117" display="ricardo.velandia@idt.gov.co"/>
    <hyperlink ref="M121" r:id="rId118" display="john.ramos@idt.gov.co"/>
    <hyperlink ref="M122" r:id="rId119" display="duberney.ochica@idt.gov.co"/>
    <hyperlink ref="M123" r:id="rId120" display="angela.clavijo@idt.gov.co"/>
    <hyperlink ref="M124" r:id="rId121" display="juan.ospina@idt.gov.co"/>
    <hyperlink ref="M125" r:id="rId122" display="esteban.vargas@idt.gov.co"/>
    <hyperlink ref="M126" r:id="rId123" display="wilson.martin@idt.gov.co"/>
    <hyperlink ref="M127" r:id="rId124" display="andrés.castillo@idt.gov.co"/>
    <hyperlink ref="M128" r:id="rId125" display="juber.uriza@idt.gov.co"/>
    <hyperlink ref="M129" r:id="rId126" display="maria.arevalo@idt.gov.co"/>
    <hyperlink ref="M130" r:id="rId127" display="daniel.ruiz@idt.gov.co"/>
    <hyperlink ref="M131" r:id="rId128" display="laura.chaves@idt.gov.co"/>
    <hyperlink ref="M132" r:id="rId129" display="diego.alvarez@idt.gov.co"/>
    <hyperlink ref="M133" r:id="rId130" display="jeimmy.rios@idt.gov.co"/>
    <hyperlink ref="M134" r:id="rId131" display="laura.ordoñez@idt.gov.co"/>
    <hyperlink ref="M135" r:id="rId132" display="ruth.sierra@idt.gov.co"/>
    <hyperlink ref="M136" r:id="rId133" display="eliecer.durán@idt.gov.co"/>
    <hyperlink ref="M137" r:id="rId134" display="yeison.yeison@idt.gov.co"/>
    <hyperlink ref="M138" r:id="rId135" display="genoveva.genoveva@idt.gov.co"/>
    <hyperlink ref="M139" r:id="rId136" display="carlos.moreno@idt.gov.co"/>
    <hyperlink ref="M140" r:id="rId137" display="norma.aquite@idt.gov.co"/>
    <hyperlink ref="M141" r:id="rId138" display="jorge.moreno@idt.gov.co"/>
    <hyperlink ref="M142" r:id="rId139" display="luisa.luisa@idt.gov.co"/>
    <hyperlink ref="M143" r:id="rId140" display="maria.torres@idt.gov.co"/>
    <hyperlink ref="M144" r:id="rId141" display="lina.duarte@idt.gov.co"/>
    <hyperlink ref="M145" r:id="rId142" display="santiago.martínez@idt.gov.co"/>
    <hyperlink ref="M146" r:id="rId143" display="wilson.santamaria@idt.gov.co"/>
    <hyperlink ref="M147" r:id="rId144" display="andres.tellez@idt.gov.co"/>
    <hyperlink ref="M148" r:id="rId145" display="oscar.suárez@idt.gov.co"/>
    <hyperlink ref="M149" r:id="rId146" display="rafael.ahumada@idt.gov.co"/>
    <hyperlink ref="M150" r:id="rId147" display="diana.diana@idt.gov.co"/>
    <hyperlink ref="M151" r:id="rId148" display="cristian.parra@idt.gov.co"/>
    <hyperlink ref="M152" r:id="rId149" display="norbey.ruiz@idt.gov.co"/>
  </hyperlinks>
  <printOptions/>
  <pageMargins left="0.7" right="0.7" top="0.75" bottom="0.75" header="0.3" footer="0.3"/>
  <pageSetup orientation="portrait" paperSize="9"/>
  <drawing r:id="rId150"/>
</worksheet>
</file>

<file path=xl/worksheets/sheet3.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J1"/>
    </sheetView>
  </sheetViews>
  <sheetFormatPr defaultColWidth="11.7109375" defaultRowHeight="12.75"/>
  <cols>
    <col min="1" max="1" width="41.140625" style="1" customWidth="1"/>
    <col min="2" max="2" width="34.421875" style="1" customWidth="1"/>
    <col min="3" max="3" width="16.140625" style="1" bestFit="1" customWidth="1"/>
    <col min="4" max="4" width="11.7109375" style="1" customWidth="1"/>
    <col min="5" max="5" width="16.140625" style="1" bestFit="1" customWidth="1"/>
    <col min="6" max="6" width="9.421875" style="1" customWidth="1"/>
    <col min="7" max="7" width="16.8515625" style="1" bestFit="1" customWidth="1"/>
    <col min="8" max="9" width="16.8515625" style="1" customWidth="1"/>
    <col min="10" max="10" width="11.28125" style="1" customWidth="1"/>
    <col min="11" max="11" width="16.140625" style="8" bestFit="1" customWidth="1"/>
    <col min="12" max="12" width="18.8515625" style="1" bestFit="1" customWidth="1"/>
    <col min="13" max="13" width="17.57421875" style="1" customWidth="1"/>
    <col min="14" max="14" width="16.421875" style="1" customWidth="1"/>
    <col min="15" max="16384" width="11.7109375" style="1" customWidth="1"/>
  </cols>
  <sheetData>
    <row r="1" spans="1:10" ht="24.75">
      <c r="A1" s="465" t="e">
        <f>+#REF!</f>
        <v>#REF!</v>
      </c>
      <c r="B1" s="465"/>
      <c r="C1" s="465"/>
      <c r="D1" s="465"/>
      <c r="E1" s="465"/>
      <c r="F1" s="465"/>
      <c r="G1" s="465"/>
      <c r="H1" s="465"/>
      <c r="I1" s="465"/>
      <c r="J1" s="465"/>
    </row>
    <row r="2" spans="1:10" ht="19.5">
      <c r="A2" s="466" t="e">
        <f>+#REF!</f>
        <v>#REF!</v>
      </c>
      <c r="B2" s="466"/>
      <c r="C2" s="466"/>
      <c r="D2" s="466"/>
      <c r="E2" s="466"/>
      <c r="F2" s="466"/>
      <c r="G2" s="466"/>
      <c r="H2" s="466"/>
      <c r="I2" s="466"/>
      <c r="J2" s="466"/>
    </row>
    <row r="3" spans="1:12" ht="18">
      <c r="A3" s="467" t="e">
        <f>+#REF!</f>
        <v>#REF!</v>
      </c>
      <c r="B3" s="467"/>
      <c r="C3" s="467"/>
      <c r="D3" s="467"/>
      <c r="E3" s="467"/>
      <c r="F3" s="467"/>
      <c r="G3" s="467"/>
      <c r="H3" s="467"/>
      <c r="I3" s="467"/>
      <c r="J3" s="467"/>
      <c r="L3" s="8"/>
    </row>
    <row r="4" spans="1:12" ht="18">
      <c r="A4" s="467" t="e">
        <f>+#REF!</f>
        <v>#REF!</v>
      </c>
      <c r="B4" s="467"/>
      <c r="C4" s="467"/>
      <c r="D4" s="467"/>
      <c r="E4" s="467"/>
      <c r="F4" s="467"/>
      <c r="G4" s="467"/>
      <c r="H4" s="467"/>
      <c r="I4" s="467"/>
      <c r="J4" s="467"/>
      <c r="L4" s="8"/>
    </row>
    <row r="5" spans="1:10" ht="18">
      <c r="A5" s="467" t="e">
        <f>+#REF!</f>
        <v>#REF!</v>
      </c>
      <c r="B5" s="467"/>
      <c r="C5" s="467"/>
      <c r="D5" s="467"/>
      <c r="E5" s="467"/>
      <c r="F5" s="467"/>
      <c r="G5" s="467"/>
      <c r="H5" s="467"/>
      <c r="I5" s="467"/>
      <c r="J5" s="467"/>
    </row>
    <row r="6" spans="1:10" ht="16.5" thickBot="1">
      <c r="A6" s="468" t="e">
        <f>+#REF!</f>
        <v>#REF!</v>
      </c>
      <c r="B6" s="468"/>
      <c r="C6" s="468"/>
      <c r="D6" s="468"/>
      <c r="E6" s="468"/>
      <c r="F6" s="468"/>
      <c r="G6" s="468"/>
      <c r="H6" s="468"/>
      <c r="I6" s="468"/>
      <c r="J6" s="468"/>
    </row>
    <row r="7" spans="1:14" s="13" customFormat="1" ht="95.25" customHeight="1" thickBot="1">
      <c r="A7" s="462" t="s">
        <v>52</v>
      </c>
      <c r="B7" s="463"/>
      <c r="C7" s="463"/>
      <c r="D7" s="463"/>
      <c r="E7" s="463"/>
      <c r="F7" s="463"/>
      <c r="G7" s="463"/>
      <c r="H7" s="463"/>
      <c r="I7" s="463"/>
      <c r="J7" s="463"/>
      <c r="K7" s="463"/>
      <c r="L7" s="463"/>
      <c r="M7" s="463"/>
      <c r="N7" s="464"/>
    </row>
    <row r="8" spans="1:14" s="2" customFormat="1" ht="63" customHeight="1" thickBot="1">
      <c r="A8" s="14" t="s">
        <v>11</v>
      </c>
      <c r="B8" s="14" t="s">
        <v>12</v>
      </c>
      <c r="C8" s="15" t="s">
        <v>14</v>
      </c>
      <c r="D8" s="15" t="s">
        <v>53</v>
      </c>
      <c r="E8" s="15" t="s">
        <v>3</v>
      </c>
      <c r="F8" s="15" t="s">
        <v>13</v>
      </c>
      <c r="G8" s="15" t="s">
        <v>40</v>
      </c>
      <c r="H8" s="15" t="s">
        <v>4</v>
      </c>
      <c r="I8" s="15" t="s">
        <v>54</v>
      </c>
      <c r="J8" s="15" t="s">
        <v>58</v>
      </c>
      <c r="K8" s="15" t="s">
        <v>55</v>
      </c>
      <c r="L8" s="15" t="s">
        <v>56</v>
      </c>
      <c r="M8" s="15" t="s">
        <v>57</v>
      </c>
      <c r="N8" s="15" t="s">
        <v>63</v>
      </c>
    </row>
    <row r="9" spans="1:15" ht="12.75">
      <c r="A9" s="28"/>
      <c r="B9" s="19"/>
      <c r="C9" s="10"/>
      <c r="D9" s="79">
        <v>0</v>
      </c>
      <c r="E9" s="79"/>
      <c r="F9" s="17">
        <v>0</v>
      </c>
      <c r="G9" s="26">
        <f>ROUND(+C9*F9,0)</f>
        <v>0</v>
      </c>
      <c r="H9" s="26"/>
      <c r="I9" s="80"/>
      <c r="J9" s="27">
        <f>+I9</f>
        <v>0</v>
      </c>
      <c r="K9" s="27">
        <f>ROUND((+C9/30*J9)/3*2,0)</f>
        <v>0</v>
      </c>
      <c r="L9" s="27">
        <f>ROUND((+E9/30*J9)/3*2,0)</f>
        <v>0</v>
      </c>
      <c r="M9" s="27">
        <f>ROUND((+G9/30*J9)/3*2,0)</f>
        <v>0</v>
      </c>
      <c r="N9" s="27">
        <f>ROUND((+H9/30*J9)/3*2,0)</f>
        <v>0</v>
      </c>
      <c r="O9" s="8"/>
    </row>
    <row r="10" spans="1:15" ht="12.75">
      <c r="A10" s="28"/>
      <c r="B10" s="19"/>
      <c r="C10" s="10"/>
      <c r="D10" s="79">
        <v>0.4</v>
      </c>
      <c r="E10" s="79">
        <f>ROUND(+C10*D10,0)</f>
        <v>0</v>
      </c>
      <c r="F10" s="17">
        <v>0.5</v>
      </c>
      <c r="G10" s="26">
        <f>ROUND(+C10*F10,0)</f>
        <v>0</v>
      </c>
      <c r="H10" s="26">
        <v>0</v>
      </c>
      <c r="I10" s="80"/>
      <c r="J10" s="27"/>
      <c r="K10" s="27">
        <f>ROUND((+C10/30*J10)/3*2,0)</f>
        <v>0</v>
      </c>
      <c r="L10" s="27">
        <f>ROUND((+E10/30*J10)/3*2,0)</f>
        <v>0</v>
      </c>
      <c r="M10" s="27">
        <f>ROUND((+G10/30*J10)/3*2,0)</f>
        <v>0</v>
      </c>
      <c r="N10" s="27">
        <f>ROUND((+H10/30*J10)/3*2,0)</f>
        <v>0</v>
      </c>
      <c r="O10" s="8"/>
    </row>
    <row r="11" spans="1:15" ht="13.5" thickBot="1">
      <c r="A11" s="28"/>
      <c r="B11" s="19"/>
      <c r="C11" s="10"/>
      <c r="D11" s="79">
        <v>0.3</v>
      </c>
      <c r="E11" s="79">
        <f>ROUND(+C11*D11,0)</f>
        <v>0</v>
      </c>
      <c r="F11" s="17">
        <v>0.5</v>
      </c>
      <c r="G11" s="26">
        <f>ROUND(+C11*F11,0)</f>
        <v>0</v>
      </c>
      <c r="H11" s="26">
        <v>0</v>
      </c>
      <c r="I11" s="80"/>
      <c r="J11" s="27"/>
      <c r="K11" s="26">
        <f>ROUND((+C11/30*J11)/3*2,0)</f>
        <v>0</v>
      </c>
      <c r="L11" s="100">
        <f>ROUND((+E11/30*J11)/3*2,0)</f>
        <v>0</v>
      </c>
      <c r="M11" s="27">
        <f>ROUND((+G11/30*J11)/3*2,0)</f>
        <v>0</v>
      </c>
      <c r="N11" s="27">
        <f>ROUND((+H11/30*J11)/3*2,0)</f>
        <v>0</v>
      </c>
      <c r="O11" s="8"/>
    </row>
    <row r="12" spans="1:14" ht="16.5" thickBot="1">
      <c r="A12" s="11" t="s">
        <v>10</v>
      </c>
      <c r="B12" s="12"/>
      <c r="C12" s="18">
        <f>SUM(C9:C9)</f>
        <v>0</v>
      </c>
      <c r="D12" s="18"/>
      <c r="E12" s="18"/>
      <c r="F12" s="12"/>
      <c r="G12" s="18">
        <f>SUM(G9:G9)</f>
        <v>0</v>
      </c>
      <c r="H12" s="18"/>
      <c r="I12" s="18"/>
      <c r="J12" s="12"/>
      <c r="K12" s="18">
        <f>SUM(K9:K11)</f>
        <v>0</v>
      </c>
      <c r="L12" s="18">
        <f>SUM(L9:L11)</f>
        <v>0</v>
      </c>
      <c r="M12" s="18">
        <f>SUM(M9:M11)</f>
        <v>0</v>
      </c>
      <c r="N12" s="18">
        <f>SUM(N9:N11)</f>
        <v>0</v>
      </c>
    </row>
    <row r="13" spans="2:10" ht="15.75">
      <c r="B13" s="6"/>
      <c r="C13" s="8"/>
      <c r="D13" s="8"/>
      <c r="E13" s="8"/>
      <c r="F13" s="8"/>
      <c r="G13" s="8"/>
      <c r="H13" s="8"/>
      <c r="I13" s="8"/>
      <c r="J13" s="8"/>
    </row>
    <row r="14" spans="2:10" ht="15.75">
      <c r="B14" s="6"/>
      <c r="C14" s="8"/>
      <c r="D14" s="8"/>
      <c r="E14" s="8"/>
      <c r="F14" s="8"/>
      <c r="G14" s="8"/>
      <c r="H14" s="8"/>
      <c r="I14" s="8"/>
      <c r="J14" s="8"/>
    </row>
    <row r="15" spans="2:10" ht="15.75">
      <c r="B15" s="6"/>
      <c r="C15" s="8"/>
      <c r="D15" s="8"/>
      <c r="E15" s="8"/>
      <c r="F15" s="8"/>
      <c r="G15" s="8"/>
      <c r="H15" s="8"/>
      <c r="I15" s="8"/>
      <c r="J15" s="8"/>
    </row>
    <row r="16" spans="2:10" ht="15.75">
      <c r="B16" s="6"/>
      <c r="C16" s="16"/>
      <c r="D16" s="16"/>
      <c r="E16" s="16"/>
      <c r="F16" s="16"/>
      <c r="G16" s="16"/>
      <c r="H16" s="16"/>
      <c r="I16" s="16"/>
      <c r="J16" s="16"/>
    </row>
    <row r="17" ht="43.5" customHeight="1" thickBot="1">
      <c r="A17" s="3"/>
    </row>
    <row r="18" spans="1:10" ht="21">
      <c r="A18" s="97" t="s">
        <v>61</v>
      </c>
      <c r="C18" s="461" t="s">
        <v>9</v>
      </c>
      <c r="D18" s="461"/>
      <c r="E18" s="461"/>
      <c r="F18" s="461"/>
      <c r="G18" s="461"/>
      <c r="H18" s="461"/>
      <c r="I18" s="461"/>
      <c r="J18" s="461"/>
    </row>
    <row r="22" ht="12.75">
      <c r="A22" s="25" t="s">
        <v>90</v>
      </c>
    </row>
    <row r="23" ht="12.75">
      <c r="A23" s="25"/>
    </row>
    <row r="24" ht="12.75">
      <c r="A24" s="25" t="s">
        <v>109</v>
      </c>
    </row>
    <row r="25" ht="12.75">
      <c r="K25" s="8">
        <v>81292</v>
      </c>
    </row>
    <row r="26" ht="12.75">
      <c r="K26" s="8">
        <f>+K25-K9</f>
        <v>81292</v>
      </c>
    </row>
  </sheetData>
  <sheetProtection/>
  <mergeCells count="8">
    <mergeCell ref="C18:J18"/>
    <mergeCell ref="A7:N7"/>
    <mergeCell ref="A1:J1"/>
    <mergeCell ref="A2:J2"/>
    <mergeCell ref="A3:J3"/>
    <mergeCell ref="A4:J4"/>
    <mergeCell ref="A5:J5"/>
    <mergeCell ref="A6:J6"/>
  </mergeCells>
  <printOptions horizontalCentered="1" verticalCentered="1"/>
  <pageMargins left="0.15748031496062992" right="0.15748031496062992" top="0.15748031496062992" bottom="0.15748031496062992" header="0.1968503937007874" footer="0.5118110236220472"/>
  <pageSetup horizontalDpi="600" verticalDpi="600" orientation="landscape" paperSize="119" scale="65" r:id="rId2"/>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Y35"/>
  <sheetViews>
    <sheetView zoomScalePageLayoutView="0" workbookViewId="0" topLeftCell="A1">
      <selection activeCell="G14" sqref="G14"/>
    </sheetView>
  </sheetViews>
  <sheetFormatPr defaultColWidth="11.7109375" defaultRowHeight="12.75"/>
  <cols>
    <col min="1" max="1" width="37.140625" style="165" customWidth="1"/>
    <col min="2" max="2" width="22.28125" style="165" customWidth="1"/>
    <col min="3" max="3" width="11.28125" style="165" customWidth="1"/>
    <col min="4" max="4" width="14.00390625" style="165" customWidth="1"/>
    <col min="5" max="5" width="12.8515625" style="165" customWidth="1"/>
    <col min="6" max="6" width="18.00390625" style="165" customWidth="1"/>
    <col min="7" max="7" width="11.57421875" style="165" customWidth="1"/>
    <col min="8" max="8" width="13.57421875" style="165" customWidth="1"/>
    <col min="9" max="9" width="15.28125" style="165" customWidth="1"/>
    <col min="10" max="10" width="11.7109375" style="179" customWidth="1"/>
    <col min="11" max="16384" width="11.7109375" style="165" customWidth="1"/>
  </cols>
  <sheetData>
    <row r="1" spans="1:9" ht="20.25">
      <c r="A1" s="472" t="e">
        <f>+#REF!</f>
        <v>#REF!</v>
      </c>
      <c r="B1" s="473"/>
      <c r="C1" s="473"/>
      <c r="D1" s="473"/>
      <c r="E1" s="473"/>
      <c r="F1" s="473"/>
      <c r="G1" s="473"/>
      <c r="H1" s="473"/>
      <c r="I1" s="474"/>
    </row>
    <row r="2" spans="1:9" ht="20.25">
      <c r="A2" s="475" t="e">
        <f>+#REF!</f>
        <v>#REF!</v>
      </c>
      <c r="B2" s="476"/>
      <c r="C2" s="476"/>
      <c r="D2" s="476"/>
      <c r="E2" s="476"/>
      <c r="F2" s="476"/>
      <c r="G2" s="476"/>
      <c r="H2" s="476"/>
      <c r="I2" s="477"/>
    </row>
    <row r="3" spans="1:9" ht="15">
      <c r="A3" s="478" t="e">
        <f>+#REF!</f>
        <v>#REF!</v>
      </c>
      <c r="B3" s="479"/>
      <c r="C3" s="479"/>
      <c r="D3" s="479"/>
      <c r="E3" s="479"/>
      <c r="F3" s="479"/>
      <c r="G3" s="479"/>
      <c r="H3" s="479"/>
      <c r="I3" s="480"/>
    </row>
    <row r="4" spans="1:9" ht="15">
      <c r="A4" s="478" t="e">
        <f>+#REF!</f>
        <v>#REF!</v>
      </c>
      <c r="B4" s="479"/>
      <c r="C4" s="479"/>
      <c r="D4" s="479"/>
      <c r="E4" s="479"/>
      <c r="F4" s="479"/>
      <c r="G4" s="479"/>
      <c r="H4" s="479"/>
      <c r="I4" s="480"/>
    </row>
    <row r="5" spans="1:9" ht="15.75">
      <c r="A5" s="469" t="e">
        <f>+#REF!</f>
        <v>#REF!</v>
      </c>
      <c r="B5" s="470"/>
      <c r="C5" s="470"/>
      <c r="D5" s="470"/>
      <c r="E5" s="470"/>
      <c r="F5" s="470"/>
      <c r="G5" s="470"/>
      <c r="H5" s="470"/>
      <c r="I5" s="471"/>
    </row>
    <row r="6" spans="1:9" ht="13.5" thickBot="1">
      <c r="A6" s="166"/>
      <c r="B6" s="167"/>
      <c r="C6" s="167"/>
      <c r="D6" s="167"/>
      <c r="E6" s="167"/>
      <c r="F6" s="167"/>
      <c r="G6" s="167"/>
      <c r="H6" s="167"/>
      <c r="I6" s="168"/>
    </row>
    <row r="7" spans="1:10" s="169" customFormat="1" ht="18.75" customHeight="1" thickBot="1">
      <c r="A7" s="483" t="s">
        <v>112</v>
      </c>
      <c r="B7" s="484"/>
      <c r="C7" s="484"/>
      <c r="D7" s="484"/>
      <c r="E7" s="484"/>
      <c r="F7" s="484"/>
      <c r="G7" s="484"/>
      <c r="H7" s="484"/>
      <c r="I7" s="485"/>
      <c r="J7" s="338"/>
    </row>
    <row r="8" spans="1:11" s="169" customFormat="1" ht="56.25" customHeight="1" thickBot="1">
      <c r="A8" s="384" t="s">
        <v>11</v>
      </c>
      <c r="B8" s="385" t="s">
        <v>12</v>
      </c>
      <c r="C8" s="386" t="s">
        <v>116</v>
      </c>
      <c r="D8" s="385" t="s">
        <v>123</v>
      </c>
      <c r="E8" s="386" t="s">
        <v>4</v>
      </c>
      <c r="F8" s="385" t="s">
        <v>122</v>
      </c>
      <c r="G8" s="385" t="s">
        <v>10</v>
      </c>
      <c r="H8" s="385" t="s">
        <v>39</v>
      </c>
      <c r="I8" s="387" t="s">
        <v>60</v>
      </c>
      <c r="J8" s="338"/>
      <c r="K8" s="182"/>
    </row>
    <row r="9" spans="1:11" s="169" customFormat="1" ht="29.25" customHeight="1">
      <c r="A9" s="363">
        <v>0</v>
      </c>
      <c r="B9" s="364" t="s">
        <v>118</v>
      </c>
      <c r="C9" s="365">
        <v>0</v>
      </c>
      <c r="D9" s="366">
        <v>0</v>
      </c>
      <c r="E9" s="366" t="e">
        <f>#REF!</f>
        <v>#REF!</v>
      </c>
      <c r="F9" s="366">
        <v>0</v>
      </c>
      <c r="G9" s="367" t="e">
        <f aca="true" t="shared" si="0" ref="G9:G14">SUM(D9:F9)</f>
        <v>#REF!</v>
      </c>
      <c r="H9" s="368">
        <v>0.35</v>
      </c>
      <c r="I9" s="369" t="e">
        <f>ROUND((G9*H9),0)</f>
        <v>#REF!</v>
      </c>
      <c r="J9" s="338"/>
      <c r="K9" s="182"/>
    </row>
    <row r="10" spans="1:11" s="169" customFormat="1" ht="29.25" customHeight="1">
      <c r="A10" s="370">
        <v>0</v>
      </c>
      <c r="B10" s="358" t="s">
        <v>259</v>
      </c>
      <c r="C10" s="359">
        <v>0</v>
      </c>
      <c r="D10" s="360">
        <v>0</v>
      </c>
      <c r="E10" s="360">
        <v>0</v>
      </c>
      <c r="F10" s="360">
        <v>0</v>
      </c>
      <c r="G10" s="361">
        <f t="shared" si="0"/>
        <v>0</v>
      </c>
      <c r="H10" s="362">
        <v>0.35</v>
      </c>
      <c r="I10" s="343">
        <f>ROUND((G10*H10),0)</f>
        <v>0</v>
      </c>
      <c r="J10" s="338"/>
      <c r="K10" s="182"/>
    </row>
    <row r="11" spans="1:11" s="169" customFormat="1" ht="29.25" customHeight="1">
      <c r="A11" s="370">
        <v>0</v>
      </c>
      <c r="B11" s="358" t="s">
        <v>259</v>
      </c>
      <c r="C11" s="359">
        <v>0</v>
      </c>
      <c r="D11" s="360">
        <v>0</v>
      </c>
      <c r="E11" s="360">
        <v>0</v>
      </c>
      <c r="F11" s="360">
        <v>0</v>
      </c>
      <c r="G11" s="361">
        <f t="shared" si="0"/>
        <v>0</v>
      </c>
      <c r="H11" s="362">
        <v>0.35</v>
      </c>
      <c r="I11" s="343">
        <f>ROUND((G11*H11),0)</f>
        <v>0</v>
      </c>
      <c r="J11" s="338"/>
      <c r="K11" s="182"/>
    </row>
    <row r="12" spans="1:11" s="169" customFormat="1" ht="29.25" customHeight="1">
      <c r="A12" s="370">
        <v>0</v>
      </c>
      <c r="B12" s="358" t="s">
        <v>259</v>
      </c>
      <c r="C12" s="359">
        <v>0</v>
      </c>
      <c r="D12" s="360">
        <v>0</v>
      </c>
      <c r="E12" s="360">
        <v>0</v>
      </c>
      <c r="F12" s="360">
        <v>0</v>
      </c>
      <c r="G12" s="361">
        <f t="shared" si="0"/>
        <v>0</v>
      </c>
      <c r="H12" s="362">
        <v>0.35</v>
      </c>
      <c r="I12" s="343">
        <f>ROUND((G12*H12),0)</f>
        <v>0</v>
      </c>
      <c r="J12" s="338"/>
      <c r="K12" s="182"/>
    </row>
    <row r="13" spans="1:11" s="169" customFormat="1" ht="27" customHeight="1">
      <c r="A13" s="370">
        <v>0</v>
      </c>
      <c r="B13" s="358" t="s">
        <v>206</v>
      </c>
      <c r="C13" s="359">
        <v>0</v>
      </c>
      <c r="D13" s="360">
        <v>0</v>
      </c>
      <c r="E13" s="360">
        <v>0</v>
      </c>
      <c r="F13" s="360">
        <v>0</v>
      </c>
      <c r="G13" s="361">
        <f t="shared" si="0"/>
        <v>0</v>
      </c>
      <c r="H13" s="362">
        <v>0.35</v>
      </c>
      <c r="I13" s="343">
        <f>ROUND((G13*H13),0)</f>
        <v>0</v>
      </c>
      <c r="J13" s="338"/>
      <c r="K13" s="182"/>
    </row>
    <row r="14" spans="1:11" s="169" customFormat="1" ht="31.5" customHeight="1">
      <c r="A14" s="370">
        <v>0</v>
      </c>
      <c r="B14" s="358" t="s">
        <v>260</v>
      </c>
      <c r="C14" s="359">
        <v>0</v>
      </c>
      <c r="D14" s="360">
        <v>0</v>
      </c>
      <c r="E14" s="360">
        <v>0</v>
      </c>
      <c r="F14" s="360">
        <v>0</v>
      </c>
      <c r="G14" s="361">
        <f t="shared" si="0"/>
        <v>0</v>
      </c>
      <c r="H14" s="362">
        <v>0.35</v>
      </c>
      <c r="I14" s="343">
        <f>ROUND((G14*0.35),0)</f>
        <v>0</v>
      </c>
      <c r="J14" s="338"/>
      <c r="K14" s="182"/>
    </row>
    <row r="15" spans="1:11" s="169" customFormat="1" ht="31.5" customHeight="1" thickBot="1">
      <c r="A15" s="370">
        <v>0</v>
      </c>
      <c r="B15" s="358" t="s">
        <v>259</v>
      </c>
      <c r="C15" s="359">
        <v>0</v>
      </c>
      <c r="D15" s="360">
        <v>0</v>
      </c>
      <c r="E15" s="360">
        <v>0</v>
      </c>
      <c r="F15" s="360">
        <v>0</v>
      </c>
      <c r="G15" s="361">
        <f>SUM(D15:F15)</f>
        <v>0</v>
      </c>
      <c r="H15" s="362">
        <v>0.35</v>
      </c>
      <c r="I15" s="343">
        <f>ROUND((G15*0.35),0)</f>
        <v>0</v>
      </c>
      <c r="J15" s="338"/>
      <c r="K15" s="182"/>
    </row>
    <row r="16" spans="1:23" ht="21" customHeight="1" thickBot="1">
      <c r="A16" s="378" t="s">
        <v>10</v>
      </c>
      <c r="B16" s="379"/>
      <c r="C16" s="380"/>
      <c r="D16" s="381">
        <f>SUM(D9:D15)</f>
        <v>0</v>
      </c>
      <c r="E16" s="382" t="e">
        <f>SUM(E9:E15)</f>
        <v>#REF!</v>
      </c>
      <c r="F16" s="381">
        <f>SUM(F9:F15)</f>
        <v>0</v>
      </c>
      <c r="G16" s="381" t="e">
        <f>SUM(G9:G15)</f>
        <v>#REF!</v>
      </c>
      <c r="H16" s="381"/>
      <c r="I16" s="383" t="e">
        <f>ROUND(SUM(I9:I15),0)</f>
        <v>#REF!</v>
      </c>
      <c r="K16" s="489"/>
      <c r="L16" s="489"/>
      <c r="M16" s="489"/>
      <c r="N16" s="489"/>
      <c r="O16" s="489"/>
      <c r="P16" s="489"/>
      <c r="Q16" s="489"/>
      <c r="R16" s="489"/>
      <c r="S16" s="489"/>
      <c r="T16" s="489"/>
      <c r="U16" s="489"/>
      <c r="V16" s="489"/>
      <c r="W16" s="489"/>
    </row>
    <row r="17" spans="1:9" ht="12.75">
      <c r="A17" s="166"/>
      <c r="B17" s="167"/>
      <c r="C17" s="167"/>
      <c r="D17" s="170"/>
      <c r="E17" s="170"/>
      <c r="F17" s="170"/>
      <c r="G17" s="170"/>
      <c r="H17" s="170"/>
      <c r="I17" s="171"/>
    </row>
    <row r="18" spans="1:9" ht="93.75" customHeight="1" thickBot="1">
      <c r="A18" s="166"/>
      <c r="B18" s="167"/>
      <c r="C18" s="167"/>
      <c r="D18" s="170"/>
      <c r="E18" s="170"/>
      <c r="F18" s="170"/>
      <c r="G18" s="170"/>
      <c r="H18" s="339"/>
      <c r="I18" s="171"/>
    </row>
    <row r="19" spans="1:9" ht="24" customHeight="1">
      <c r="A19" s="172" t="s">
        <v>125</v>
      </c>
      <c r="B19" s="167"/>
      <c r="C19" s="167"/>
      <c r="D19" s="486" t="s">
        <v>108</v>
      </c>
      <c r="E19" s="487"/>
      <c r="F19" s="487"/>
      <c r="G19" s="487"/>
      <c r="H19" s="486"/>
      <c r="I19" s="488"/>
    </row>
    <row r="20" spans="1:9" ht="12.75">
      <c r="A20" s="186"/>
      <c r="B20" s="167"/>
      <c r="C20" s="167"/>
      <c r="D20" s="173"/>
      <c r="E20" s="173"/>
      <c r="F20" s="173"/>
      <c r="G20" s="173"/>
      <c r="H20" s="173"/>
      <c r="I20" s="174"/>
    </row>
    <row r="21" spans="1:9" ht="12.75">
      <c r="A21" s="186"/>
      <c r="B21" s="167"/>
      <c r="C21" s="167"/>
      <c r="D21" s="173"/>
      <c r="E21" s="173"/>
      <c r="F21" s="173"/>
      <c r="G21" s="173"/>
      <c r="H21" s="173"/>
      <c r="I21" s="174"/>
    </row>
    <row r="22" spans="1:9" ht="12.75">
      <c r="A22" s="166"/>
      <c r="B22" s="167"/>
      <c r="C22" s="167"/>
      <c r="D22" s="167"/>
      <c r="E22" s="167"/>
      <c r="F22" s="167"/>
      <c r="G22" s="167"/>
      <c r="H22" s="167"/>
      <c r="I22" s="168"/>
    </row>
    <row r="23" spans="1:9" ht="12.75">
      <c r="A23" s="175" t="s">
        <v>203</v>
      </c>
      <c r="B23" s="167"/>
      <c r="C23" s="167"/>
      <c r="D23" s="167"/>
      <c r="E23" s="167"/>
      <c r="F23" s="167"/>
      <c r="G23" s="167"/>
      <c r="H23" s="167"/>
      <c r="I23" s="168"/>
    </row>
    <row r="24" spans="1:9" ht="12.75">
      <c r="A24" s="175" t="s">
        <v>250</v>
      </c>
      <c r="B24" s="167"/>
      <c r="C24" s="167"/>
      <c r="D24" s="167"/>
      <c r="E24" s="167"/>
      <c r="F24" s="167"/>
      <c r="G24" s="167"/>
      <c r="H24" s="167"/>
      <c r="I24" s="168"/>
    </row>
    <row r="25" spans="1:9" ht="13.5" thickBot="1">
      <c r="A25" s="176" t="s">
        <v>256</v>
      </c>
      <c r="B25" s="177"/>
      <c r="C25" s="177"/>
      <c r="D25" s="177"/>
      <c r="E25" s="177"/>
      <c r="F25" s="177"/>
      <c r="G25" s="177"/>
      <c r="H25" s="177"/>
      <c r="I25" s="178"/>
    </row>
    <row r="26" spans="1:9" ht="12.75">
      <c r="A26" s="179"/>
      <c r="B26" s="179"/>
      <c r="C26" s="179"/>
      <c r="D26" s="179"/>
      <c r="E26" s="179"/>
      <c r="F26" s="179"/>
      <c r="G26" s="179"/>
      <c r="H26" s="179"/>
      <c r="I26" s="179"/>
    </row>
    <row r="29" spans="11:23" ht="16.5">
      <c r="K29" s="490" t="s">
        <v>120</v>
      </c>
      <c r="L29" s="489"/>
      <c r="M29" s="489"/>
      <c r="N29" s="489"/>
      <c r="O29" s="489"/>
      <c r="P29" s="489"/>
      <c r="Q29" s="489"/>
      <c r="R29" s="489"/>
      <c r="S29" s="489"/>
      <c r="T29" s="489"/>
      <c r="U29" s="489"/>
      <c r="V29" s="489"/>
      <c r="W29" s="489"/>
    </row>
    <row r="31" spans="11:25" ht="16.5">
      <c r="K31" s="481" t="s">
        <v>121</v>
      </c>
      <c r="L31" s="482"/>
      <c r="M31" s="482"/>
      <c r="N31" s="482"/>
      <c r="O31" s="482"/>
      <c r="P31" s="482"/>
      <c r="Q31" s="482"/>
      <c r="R31" s="482"/>
      <c r="S31" s="482"/>
      <c r="T31" s="482"/>
      <c r="U31" s="482"/>
      <c r="V31" s="482"/>
      <c r="W31" s="482"/>
      <c r="X31" s="482"/>
      <c r="Y31" s="482"/>
    </row>
    <row r="34" ht="12.75">
      <c r="I34" s="180"/>
    </row>
    <row r="35" spans="2:3" ht="12.75">
      <c r="B35" s="169"/>
      <c r="C35" s="169"/>
    </row>
  </sheetData>
  <sheetProtection/>
  <mergeCells count="10">
    <mergeCell ref="A5:I5"/>
    <mergeCell ref="A1:I1"/>
    <mergeCell ref="A2:I2"/>
    <mergeCell ref="A3:I3"/>
    <mergeCell ref="A4:I4"/>
    <mergeCell ref="K31:Y31"/>
    <mergeCell ref="A7:I7"/>
    <mergeCell ref="D19:I19"/>
    <mergeCell ref="K16:W16"/>
    <mergeCell ref="K29:W29"/>
  </mergeCells>
  <printOptions horizontalCentered="1" verticalCentered="1"/>
  <pageMargins left="0.7874015748031497" right="0.7874015748031497" top="0.15748031496062992" bottom="0.15748031496062992" header="0.5118110236220472" footer="0.5118110236220472"/>
  <pageSetup fitToHeight="1" fitToWidth="1" horizontalDpi="600" verticalDpi="600" orientation="landscape" scale="78" r:id="rId2"/>
  <headerFooter alignWithMargins="0">
    <oddHeader>&amp;C&amp;G</oddHeader>
    <oddFooter>&amp;CAvenida Carrera 24 No. 40 - 66. PBX: 2 17 07 11
www.bogotaturismo.gov.co</oddFooter>
  </headerFooter>
  <legacyDrawingHF r:id="rId1"/>
</worksheet>
</file>

<file path=xl/worksheets/sheet5.xml><?xml version="1.0" encoding="utf-8"?>
<worksheet xmlns="http://schemas.openxmlformats.org/spreadsheetml/2006/main" xmlns:r="http://schemas.openxmlformats.org/officeDocument/2006/relationships">
  <sheetPr>
    <tabColor theme="7" tint="0.5999900102615356"/>
  </sheetPr>
  <dimension ref="A1:N383"/>
  <sheetViews>
    <sheetView workbookViewId="0" topLeftCell="A1">
      <selection activeCell="N212" sqref="N212"/>
    </sheetView>
  </sheetViews>
  <sheetFormatPr defaultColWidth="11.421875" defaultRowHeight="12.75"/>
  <cols>
    <col min="1" max="1" width="6.00390625" style="165" customWidth="1"/>
    <col min="2" max="2" width="58.140625" style="165" customWidth="1"/>
    <col min="3" max="3" width="11.28125" style="165" customWidth="1"/>
    <col min="4" max="4" width="13.57421875" style="165" customWidth="1"/>
    <col min="5" max="5" width="3.7109375" style="165" customWidth="1"/>
    <col min="6" max="6" width="12.57421875" style="165" customWidth="1"/>
    <col min="7" max="7" width="61.421875" style="165" hidden="1" customWidth="1"/>
    <col min="8" max="8" width="10.00390625" style="165" hidden="1" customWidth="1"/>
    <col min="9" max="9" width="10.421875" style="165" hidden="1" customWidth="1"/>
    <col min="10" max="10" width="13.140625" style="165" hidden="1" customWidth="1"/>
    <col min="11" max="11" width="12.00390625" style="165" hidden="1" customWidth="1"/>
    <col min="12" max="12" width="11.7109375" style="165" hidden="1" customWidth="1"/>
    <col min="13" max="13" width="14.140625" style="165" hidden="1" customWidth="1"/>
    <col min="14" max="14" width="15.7109375" style="211" bestFit="1" customWidth="1"/>
    <col min="15" max="16384" width="11.421875" style="165" customWidth="1"/>
  </cols>
  <sheetData>
    <row r="1" spans="2:12" ht="13.5" customHeight="1">
      <c r="B1" s="501" t="s">
        <v>279</v>
      </c>
      <c r="C1" s="502"/>
      <c r="D1" s="502"/>
      <c r="E1" s="503"/>
      <c r="G1" s="501" t="s">
        <v>258</v>
      </c>
      <c r="H1" s="502"/>
      <c r="I1" s="502"/>
      <c r="J1" s="502"/>
      <c r="K1" s="502"/>
      <c r="L1" s="503"/>
    </row>
    <row r="2" spans="2:12" ht="12.75" customHeight="1">
      <c r="B2" s="504"/>
      <c r="C2" s="505"/>
      <c r="D2" s="505"/>
      <c r="E2" s="506"/>
      <c r="G2" s="504"/>
      <c r="H2" s="505"/>
      <c r="I2" s="505"/>
      <c r="J2" s="505"/>
      <c r="K2" s="505"/>
      <c r="L2" s="506"/>
    </row>
    <row r="3" spans="2:12" ht="19.5" customHeight="1">
      <c r="B3" s="504"/>
      <c r="C3" s="505"/>
      <c r="D3" s="505"/>
      <c r="E3" s="506"/>
      <c r="G3" s="504"/>
      <c r="H3" s="505"/>
      <c r="I3" s="505"/>
      <c r="J3" s="505"/>
      <c r="K3" s="505"/>
      <c r="L3" s="506"/>
    </row>
    <row r="4" spans="2:12" ht="12" customHeight="1">
      <c r="B4" s="504"/>
      <c r="C4" s="505"/>
      <c r="D4" s="505"/>
      <c r="E4" s="506"/>
      <c r="G4" s="504"/>
      <c r="H4" s="505"/>
      <c r="I4" s="505"/>
      <c r="J4" s="505"/>
      <c r="K4" s="505"/>
      <c r="L4" s="506"/>
    </row>
    <row r="5" spans="2:12" ht="12" customHeight="1">
      <c r="B5" s="504"/>
      <c r="C5" s="505"/>
      <c r="D5" s="505"/>
      <c r="E5" s="506"/>
      <c r="G5" s="504"/>
      <c r="H5" s="505"/>
      <c r="I5" s="505"/>
      <c r="J5" s="505"/>
      <c r="K5" s="505"/>
      <c r="L5" s="506"/>
    </row>
    <row r="6" spans="2:12" ht="4.5" customHeight="1">
      <c r="B6" s="504"/>
      <c r="C6" s="505"/>
      <c r="D6" s="505"/>
      <c r="E6" s="506"/>
      <c r="G6" s="504"/>
      <c r="H6" s="505"/>
      <c r="I6" s="505"/>
      <c r="J6" s="505"/>
      <c r="K6" s="505"/>
      <c r="L6" s="506"/>
    </row>
    <row r="7" spans="2:12" ht="15.75">
      <c r="B7" s="507" t="s">
        <v>300</v>
      </c>
      <c r="C7" s="508"/>
      <c r="D7" s="508"/>
      <c r="E7" s="509"/>
      <c r="G7" s="548" t="s">
        <v>232</v>
      </c>
      <c r="H7" s="549"/>
      <c r="I7" s="549"/>
      <c r="J7" s="549"/>
      <c r="K7" s="549"/>
      <c r="L7" s="550"/>
    </row>
    <row r="8" spans="2:12" ht="15.75">
      <c r="B8" s="526" t="s">
        <v>301</v>
      </c>
      <c r="C8" s="527"/>
      <c r="D8" s="527"/>
      <c r="E8" s="528"/>
      <c r="G8" s="548" t="s">
        <v>270</v>
      </c>
      <c r="H8" s="549"/>
      <c r="I8" s="549"/>
      <c r="J8" s="549"/>
      <c r="K8" s="549"/>
      <c r="L8" s="550"/>
    </row>
    <row r="9" spans="2:12" ht="12.75" customHeight="1">
      <c r="B9" s="516" t="s">
        <v>271</v>
      </c>
      <c r="C9" s="517"/>
      <c r="D9" s="517"/>
      <c r="E9" s="518"/>
      <c r="G9" s="534" t="s">
        <v>261</v>
      </c>
      <c r="H9" s="535"/>
      <c r="I9" s="535"/>
      <c r="J9" s="535"/>
      <c r="K9" s="535"/>
      <c r="L9" s="536"/>
    </row>
    <row r="10" spans="2:12" ht="14.25" customHeight="1">
      <c r="B10" s="516" t="s">
        <v>299</v>
      </c>
      <c r="C10" s="517"/>
      <c r="D10" s="517"/>
      <c r="E10" s="518"/>
      <c r="G10" s="534" t="s">
        <v>262</v>
      </c>
      <c r="H10" s="535"/>
      <c r="I10" s="535"/>
      <c r="J10" s="535"/>
      <c r="K10" s="535"/>
      <c r="L10" s="536"/>
    </row>
    <row r="11" spans="2:12" ht="14.25" customHeight="1">
      <c r="B11" s="519" t="s">
        <v>287</v>
      </c>
      <c r="C11" s="520"/>
      <c r="D11" s="520"/>
      <c r="E11" s="521"/>
      <c r="G11" s="534" t="s">
        <v>263</v>
      </c>
      <c r="H11" s="535"/>
      <c r="I11" s="535"/>
      <c r="J11" s="535"/>
      <c r="K11" s="535"/>
      <c r="L11" s="536"/>
    </row>
    <row r="12" spans="2:12" ht="14.25" customHeight="1">
      <c r="B12" s="522" t="s">
        <v>236</v>
      </c>
      <c r="C12" s="523"/>
      <c r="D12" s="524">
        <v>22</v>
      </c>
      <c r="E12" s="525"/>
      <c r="G12" s="491" t="s">
        <v>238</v>
      </c>
      <c r="H12" s="492"/>
      <c r="I12" s="492"/>
      <c r="J12" s="537">
        <v>0</v>
      </c>
      <c r="K12" s="537"/>
      <c r="L12" s="538"/>
    </row>
    <row r="13" spans="2:12" ht="14.25" customHeight="1">
      <c r="B13" s="495"/>
      <c r="C13" s="496"/>
      <c r="D13" s="496"/>
      <c r="E13" s="497"/>
      <c r="G13" s="539"/>
      <c r="H13" s="540"/>
      <c r="I13" s="540"/>
      <c r="J13" s="540"/>
      <c r="K13" s="540"/>
      <c r="L13" s="541"/>
    </row>
    <row r="14" spans="2:12" ht="29.25" customHeight="1">
      <c r="B14" s="498" t="s">
        <v>199</v>
      </c>
      <c r="C14" s="499"/>
      <c r="D14" s="311"/>
      <c r="E14" s="330"/>
      <c r="G14" s="542" t="s">
        <v>212</v>
      </c>
      <c r="H14" s="543"/>
      <c r="I14" s="543"/>
      <c r="J14" s="353" t="s">
        <v>234</v>
      </c>
      <c r="K14" s="353" t="s">
        <v>235</v>
      </c>
      <c r="L14" s="354" t="s">
        <v>216</v>
      </c>
    </row>
    <row r="15" spans="2:13" ht="12.75">
      <c r="B15" s="327" t="s">
        <v>200</v>
      </c>
      <c r="C15" s="311"/>
      <c r="D15" s="312">
        <v>0</v>
      </c>
      <c r="E15" s="328"/>
      <c r="G15" s="327" t="s">
        <v>200</v>
      </c>
      <c r="H15" s="311"/>
      <c r="I15" s="311"/>
      <c r="J15" s="312">
        <v>0</v>
      </c>
      <c r="K15" s="312">
        <v>0</v>
      </c>
      <c r="L15" s="328">
        <f>+K15-J15</f>
        <v>0</v>
      </c>
      <c r="M15" s="180"/>
    </row>
    <row r="16" spans="2:12" ht="14.25" customHeight="1" hidden="1">
      <c r="B16" s="327" t="s">
        <v>110</v>
      </c>
      <c r="C16" s="311"/>
      <c r="D16" s="312">
        <v>0</v>
      </c>
      <c r="E16" s="328"/>
      <c r="G16" s="327" t="s">
        <v>110</v>
      </c>
      <c r="H16" s="311"/>
      <c r="I16" s="311"/>
      <c r="J16" s="312">
        <v>0</v>
      </c>
      <c r="K16" s="312">
        <f>+J16</f>
        <v>0</v>
      </c>
      <c r="L16" s="328">
        <f>+K16-J16</f>
        <v>0</v>
      </c>
    </row>
    <row r="17" spans="2:12" ht="14.25" customHeight="1">
      <c r="B17" s="327" t="s">
        <v>201</v>
      </c>
      <c r="C17" s="311"/>
      <c r="D17" s="312">
        <v>0</v>
      </c>
      <c r="E17" s="328"/>
      <c r="G17" s="327" t="s">
        <v>201</v>
      </c>
      <c r="H17" s="311"/>
      <c r="I17" s="311"/>
      <c r="J17" s="312">
        <v>0</v>
      </c>
      <c r="K17" s="312">
        <v>0</v>
      </c>
      <c r="L17" s="328">
        <f>+K17-J17</f>
        <v>0</v>
      </c>
    </row>
    <row r="18" spans="2:12" ht="12.75" customHeight="1" hidden="1">
      <c r="B18" s="327" t="s">
        <v>113</v>
      </c>
      <c r="C18" s="311"/>
      <c r="D18" s="312">
        <v>0</v>
      </c>
      <c r="E18" s="328"/>
      <c r="G18" s="327" t="s">
        <v>113</v>
      </c>
      <c r="H18" s="311"/>
      <c r="I18" s="311"/>
      <c r="J18" s="312">
        <f>+I18-H18</f>
        <v>0</v>
      </c>
      <c r="K18" s="312">
        <v>0</v>
      </c>
      <c r="L18" s="328">
        <f>+K18-J18</f>
        <v>0</v>
      </c>
    </row>
    <row r="19" spans="2:12" ht="12.75" customHeight="1" hidden="1">
      <c r="B19" s="327" t="s">
        <v>111</v>
      </c>
      <c r="C19" s="311"/>
      <c r="D19" s="312">
        <v>0</v>
      </c>
      <c r="E19" s="328"/>
      <c r="G19" s="327" t="s">
        <v>111</v>
      </c>
      <c r="H19" s="311"/>
      <c r="I19" s="316"/>
      <c r="J19" s="312">
        <v>0</v>
      </c>
      <c r="K19" s="312">
        <v>0</v>
      </c>
      <c r="L19" s="328">
        <f>+K19-J19</f>
        <v>0</v>
      </c>
    </row>
    <row r="20" spans="2:12" ht="12.75">
      <c r="B20" s="327" t="s">
        <v>241</v>
      </c>
      <c r="C20" s="374">
        <v>0</v>
      </c>
      <c r="D20" s="312">
        <f>ROUND((C20/12),0)</f>
        <v>0</v>
      </c>
      <c r="E20" s="328"/>
      <c r="F20" s="180"/>
      <c r="G20" s="327" t="s">
        <v>242</v>
      </c>
      <c r="H20" s="375">
        <v>0</v>
      </c>
      <c r="I20" s="375">
        <v>0</v>
      </c>
      <c r="J20" s="312">
        <f>ROUND((H20/12),0)</f>
        <v>0</v>
      </c>
      <c r="K20" s="312">
        <f>ROUND((I20/12),0)</f>
        <v>0</v>
      </c>
      <c r="L20" s="328">
        <f>ROUND((K20-J20),0)</f>
        <v>0</v>
      </c>
    </row>
    <row r="21" spans="2:12" ht="12.75">
      <c r="B21" s="327" t="s">
        <v>272</v>
      </c>
      <c r="C21" s="312">
        <v>0</v>
      </c>
      <c r="D21" s="312">
        <f>ROUND((C21/12),0)</f>
        <v>0</v>
      </c>
      <c r="E21" s="328"/>
      <c r="G21" s="327" t="s">
        <v>264</v>
      </c>
      <c r="H21" s="313">
        <v>0</v>
      </c>
      <c r="I21" s="313">
        <v>0</v>
      </c>
      <c r="J21" s="312">
        <f>ROUND((H21/12),0)</f>
        <v>0</v>
      </c>
      <c r="K21" s="312">
        <f>ROUND((I21/12),0)</f>
        <v>0</v>
      </c>
      <c r="L21" s="328">
        <f>ROUND((K21-J21),0)</f>
        <v>0</v>
      </c>
    </row>
    <row r="22" spans="2:13" ht="15.75" thickBot="1">
      <c r="B22" s="329" t="s">
        <v>220</v>
      </c>
      <c r="C22" s="311"/>
      <c r="D22" s="318">
        <f>ROUND(((D15+D16+D17+D18+D19+D20+D21)/30*D12)/360*360,0)</f>
        <v>0</v>
      </c>
      <c r="E22" s="335"/>
      <c r="F22" s="315">
        <f>ROUND(((D15+D16+D17+D18)/30*D12)/360*360,0)</f>
        <v>0</v>
      </c>
      <c r="G22" s="329" t="s">
        <v>220</v>
      </c>
      <c r="H22" s="311"/>
      <c r="I22" s="314">
        <v>0</v>
      </c>
      <c r="J22" s="318">
        <f>ROUND(((J15+J16+J17+J18+J19+J20+J21)/30)/360*360,0)</f>
        <v>0</v>
      </c>
      <c r="K22" s="318">
        <f>ROUND(((K15+K16+K17+K18+K19+K20+K21)/30)/360*360,0)</f>
        <v>0</v>
      </c>
      <c r="L22" s="355">
        <f>ROUND(((L15+L16+L17+L18+L19+L20+L21)/30*J12)/360*360,0)</f>
        <v>0</v>
      </c>
      <c r="M22" s="180"/>
    </row>
    <row r="23" spans="2:12" ht="12.75">
      <c r="B23" s="327"/>
      <c r="C23" s="311"/>
      <c r="D23" s="311"/>
      <c r="E23" s="330"/>
      <c r="F23" s="180"/>
      <c r="G23" s="327"/>
      <c r="H23" s="311"/>
      <c r="I23" s="311"/>
      <c r="J23" s="356"/>
      <c r="K23" s="356"/>
      <c r="L23" s="330"/>
    </row>
    <row r="24" spans="2:12" ht="12.75" customHeight="1">
      <c r="B24" s="327"/>
      <c r="C24" s="311"/>
      <c r="D24" s="311"/>
      <c r="E24" s="330"/>
      <c r="F24" s="180"/>
      <c r="G24" s="327"/>
      <c r="H24" s="311"/>
      <c r="I24" s="311"/>
      <c r="J24" s="544" t="str">
        <f>+J14</f>
        <v>Valor día 2011</v>
      </c>
      <c r="K24" s="544" t="str">
        <f>+K14</f>
        <v>Valor día 2012</v>
      </c>
      <c r="L24" s="546" t="str">
        <f>+L14</f>
        <v>Diferencia</v>
      </c>
    </row>
    <row r="25" spans="2:12" ht="14.25" customHeight="1">
      <c r="B25" s="498" t="s">
        <v>5</v>
      </c>
      <c r="C25" s="500"/>
      <c r="D25" s="311"/>
      <c r="E25" s="330"/>
      <c r="F25" s="180"/>
      <c r="G25" s="498" t="s">
        <v>213</v>
      </c>
      <c r="H25" s="500"/>
      <c r="I25" s="500"/>
      <c r="J25" s="545"/>
      <c r="K25" s="545"/>
      <c r="L25" s="547"/>
    </row>
    <row r="26" spans="2:12" ht="14.25" customHeight="1">
      <c r="B26" s="327" t="s">
        <v>200</v>
      </c>
      <c r="C26" s="311"/>
      <c r="D26" s="312">
        <f>+D15</f>
        <v>0</v>
      </c>
      <c r="E26" s="328"/>
      <c r="G26" s="327" t="s">
        <v>200</v>
      </c>
      <c r="H26" s="311"/>
      <c r="I26" s="311"/>
      <c r="J26" s="312">
        <f aca="true" t="shared" si="0" ref="J26:K30">+J15</f>
        <v>0</v>
      </c>
      <c r="K26" s="312">
        <f t="shared" si="0"/>
        <v>0</v>
      </c>
      <c r="L26" s="328">
        <f>+K26-J26</f>
        <v>0</v>
      </c>
    </row>
    <row r="27" spans="2:12" ht="12.75" customHeight="1" hidden="1">
      <c r="B27" s="327" t="s">
        <v>110</v>
      </c>
      <c r="C27" s="311"/>
      <c r="D27" s="312">
        <f>+D16</f>
        <v>0</v>
      </c>
      <c r="E27" s="328"/>
      <c r="G27" s="327" t="s">
        <v>110</v>
      </c>
      <c r="H27" s="311"/>
      <c r="I27" s="311"/>
      <c r="J27" s="312">
        <f t="shared" si="0"/>
        <v>0</v>
      </c>
      <c r="K27" s="312">
        <f t="shared" si="0"/>
        <v>0</v>
      </c>
      <c r="L27" s="328">
        <f>+K27-J27</f>
        <v>0</v>
      </c>
    </row>
    <row r="28" spans="2:12" ht="14.25" customHeight="1">
      <c r="B28" s="327" t="s">
        <v>201</v>
      </c>
      <c r="C28" s="311"/>
      <c r="D28" s="312">
        <f>+D17</f>
        <v>0</v>
      </c>
      <c r="E28" s="328"/>
      <c r="G28" s="327" t="s">
        <v>201</v>
      </c>
      <c r="H28" s="311"/>
      <c r="I28" s="311"/>
      <c r="J28" s="312">
        <f t="shared" si="0"/>
        <v>0</v>
      </c>
      <c r="K28" s="312">
        <f t="shared" si="0"/>
        <v>0</v>
      </c>
      <c r="L28" s="328">
        <f>+K28-J28</f>
        <v>0</v>
      </c>
    </row>
    <row r="29" spans="2:12" ht="14.25" customHeight="1" hidden="1">
      <c r="B29" s="327" t="s">
        <v>113</v>
      </c>
      <c r="C29" s="311"/>
      <c r="D29" s="312">
        <f>+D18</f>
        <v>0</v>
      </c>
      <c r="E29" s="328"/>
      <c r="G29" s="327" t="s">
        <v>113</v>
      </c>
      <c r="H29" s="311"/>
      <c r="I29" s="311"/>
      <c r="J29" s="312">
        <f t="shared" si="0"/>
        <v>0</v>
      </c>
      <c r="K29" s="312">
        <f t="shared" si="0"/>
        <v>0</v>
      </c>
      <c r="L29" s="328">
        <f>+K29-J29</f>
        <v>0</v>
      </c>
    </row>
    <row r="30" spans="2:12" ht="12.75" customHeight="1" hidden="1">
      <c r="B30" s="327" t="s">
        <v>111</v>
      </c>
      <c r="C30" s="311"/>
      <c r="D30" s="312">
        <f>+D19</f>
        <v>0</v>
      </c>
      <c r="E30" s="328"/>
      <c r="G30" s="327" t="s">
        <v>111</v>
      </c>
      <c r="H30" s="311"/>
      <c r="I30" s="316"/>
      <c r="J30" s="312">
        <f t="shared" si="0"/>
        <v>0</v>
      </c>
      <c r="K30" s="312">
        <f t="shared" si="0"/>
        <v>0</v>
      </c>
      <c r="L30" s="328">
        <f>+K30-J30</f>
        <v>0</v>
      </c>
    </row>
    <row r="31" spans="2:12" ht="12.75">
      <c r="B31" s="327" t="str">
        <f>+B20</f>
        <v>1/12 Prima de Servicios Cancelada en Junio 2012</v>
      </c>
      <c r="C31" s="374">
        <f>+C20</f>
        <v>0</v>
      </c>
      <c r="D31" s="312">
        <f>ROUND((D20),0)</f>
        <v>0</v>
      </c>
      <c r="E31" s="328"/>
      <c r="G31" s="327" t="str">
        <f aca="true" t="shared" si="1" ref="G31:I32">+G20</f>
        <v>1/12 Prima de Servicios Cancelada en Junio 2011 - 2012</v>
      </c>
      <c r="H31" s="313">
        <f t="shared" si="1"/>
        <v>0</v>
      </c>
      <c r="I31" s="313">
        <f t="shared" si="1"/>
        <v>0</v>
      </c>
      <c r="J31" s="312">
        <f>ROUND((H31/12),0)</f>
        <v>0</v>
      </c>
      <c r="K31" s="312">
        <f>ROUND((I31/12),0)</f>
        <v>0</v>
      </c>
      <c r="L31" s="328">
        <f>ROUND((K31-J31),0)</f>
        <v>0</v>
      </c>
    </row>
    <row r="32" spans="2:12" ht="12.75">
      <c r="B32" s="327" t="str">
        <f>+B21</f>
        <v>1/12 Bonificación Servicios Prestados Cancelada en marzo 2012</v>
      </c>
      <c r="C32" s="312">
        <f>+C21</f>
        <v>0</v>
      </c>
      <c r="D32" s="312">
        <f>ROUND((D21),0)</f>
        <v>0</v>
      </c>
      <c r="E32" s="328"/>
      <c r="G32" s="327" t="str">
        <f t="shared" si="1"/>
        <v>1/12 Bonificación Servicios Prestados Cancelada en Junio 2011</v>
      </c>
      <c r="H32" s="313">
        <f t="shared" si="1"/>
        <v>0</v>
      </c>
      <c r="I32" s="313">
        <f t="shared" si="1"/>
        <v>0</v>
      </c>
      <c r="J32" s="312">
        <f>ROUND((H32/12),0)</f>
        <v>0</v>
      </c>
      <c r="K32" s="312">
        <f>ROUND((I32/12),0)</f>
        <v>0</v>
      </c>
      <c r="L32" s="328">
        <f>ROUND((K32-J32),0)</f>
        <v>0</v>
      </c>
    </row>
    <row r="33" spans="2:13" ht="15.75" thickBot="1">
      <c r="B33" s="329" t="s">
        <v>219</v>
      </c>
      <c r="C33" s="311"/>
      <c r="D33" s="318">
        <f>ROUND((D26+D27+D28+D29+D30+D31+D32)/2*360/360,0)</f>
        <v>0</v>
      </c>
      <c r="E33" s="336"/>
      <c r="G33" s="329" t="s">
        <v>67</v>
      </c>
      <c r="H33" s="311"/>
      <c r="I33" s="314">
        <v>15</v>
      </c>
      <c r="J33" s="315">
        <f>ROUND((J26+J27+J28+J29+J30+J31+J32)/2*360/360,0)</f>
        <v>0</v>
      </c>
      <c r="K33" s="315">
        <f>ROUND((K26+K27+K28+K29+K30+K31+K32)/2*360/360,0)</f>
        <v>0</v>
      </c>
      <c r="L33" s="357">
        <f>((L26+L27+L28+L29+L30+L31+L32)/30*0)</f>
        <v>0</v>
      </c>
      <c r="M33" s="180"/>
    </row>
    <row r="34" spans="2:12" ht="12.75">
      <c r="B34" s="327"/>
      <c r="C34" s="311"/>
      <c r="D34" s="312"/>
      <c r="E34" s="328"/>
      <c r="G34" s="327"/>
      <c r="H34" s="311"/>
      <c r="I34" s="311"/>
      <c r="J34" s="312"/>
      <c r="K34" s="312"/>
      <c r="L34" s="328"/>
    </row>
    <row r="35" spans="2:12" ht="15.75" customHeight="1">
      <c r="B35" s="498" t="s">
        <v>36</v>
      </c>
      <c r="C35" s="500"/>
      <c r="D35" s="312"/>
      <c r="E35" s="328"/>
      <c r="G35" s="498" t="s">
        <v>36</v>
      </c>
      <c r="H35" s="500"/>
      <c r="I35" s="312"/>
      <c r="J35" s="312"/>
      <c r="K35" s="312"/>
      <c r="L35" s="328"/>
    </row>
    <row r="36" spans="2:12" ht="12.75">
      <c r="B36" s="327" t="s">
        <v>200</v>
      </c>
      <c r="C36" s="311"/>
      <c r="D36" s="312">
        <f>ROUND((D15),0)</f>
        <v>0</v>
      </c>
      <c r="E36" s="328"/>
      <c r="G36" s="327" t="s">
        <v>200</v>
      </c>
      <c r="H36" s="311"/>
      <c r="I36" s="183"/>
      <c r="J36" s="312">
        <f>+J15</f>
        <v>0</v>
      </c>
      <c r="K36" s="312">
        <f>+K15</f>
        <v>0</v>
      </c>
      <c r="L36" s="328">
        <f>+K36-J36</f>
        <v>0</v>
      </c>
    </row>
    <row r="37" spans="2:12" ht="15.75" thickBot="1">
      <c r="B37" s="329" t="s">
        <v>128</v>
      </c>
      <c r="C37" s="311"/>
      <c r="D37" s="318">
        <f>ROUND(((D36/30)*2),0)</f>
        <v>0</v>
      </c>
      <c r="E37" s="336"/>
      <c r="G37" s="329" t="s">
        <v>128</v>
      </c>
      <c r="H37" s="311"/>
      <c r="I37" s="183"/>
      <c r="J37" s="318">
        <f>ROUND(J36/30*2,0)</f>
        <v>0</v>
      </c>
      <c r="K37" s="318">
        <f>ROUND(K36/30*2,0)</f>
        <v>0</v>
      </c>
      <c r="L37" s="355">
        <f>ROUND(L36/30*0,0)</f>
        <v>0</v>
      </c>
    </row>
    <row r="38" spans="2:12" ht="12.75">
      <c r="B38" s="327"/>
      <c r="C38" s="311"/>
      <c r="D38" s="311"/>
      <c r="E38" s="330"/>
      <c r="G38" s="327"/>
      <c r="H38" s="311"/>
      <c r="I38" s="183"/>
      <c r="J38" s="311"/>
      <c r="K38" s="311"/>
      <c r="L38" s="328"/>
    </row>
    <row r="39" spans="2:12" ht="15.75">
      <c r="B39" s="331" t="s">
        <v>37</v>
      </c>
      <c r="C39" s="316"/>
      <c r="D39" s="317">
        <f>D22+D33+D37</f>
        <v>0</v>
      </c>
      <c r="E39" s="337"/>
      <c r="G39" s="331" t="s">
        <v>214</v>
      </c>
      <c r="H39" s="316"/>
      <c r="I39" s="316"/>
      <c r="J39" s="532">
        <f>+L22+L33+L37</f>
        <v>0</v>
      </c>
      <c r="K39" s="532"/>
      <c r="L39" s="533"/>
    </row>
    <row r="40" spans="2:12" ht="13.5" thickBot="1">
      <c r="B40" s="332"/>
      <c r="C40" s="333"/>
      <c r="D40" s="333"/>
      <c r="E40" s="334"/>
      <c r="G40" s="332"/>
      <c r="H40" s="333"/>
      <c r="I40" s="333"/>
      <c r="J40" s="333"/>
      <c r="K40" s="333"/>
      <c r="L40" s="334"/>
    </row>
    <row r="41" spans="2:7" ht="12.75" customHeight="1">
      <c r="B41" s="185" t="s">
        <v>127</v>
      </c>
      <c r="G41" s="185" t="s">
        <v>127</v>
      </c>
    </row>
    <row r="42" spans="2:7" ht="12.75">
      <c r="B42" s="185" t="s">
        <v>252</v>
      </c>
      <c r="G42" s="185" t="s">
        <v>252</v>
      </c>
    </row>
    <row r="43" spans="1:7" ht="12.75" customHeight="1">
      <c r="A43" s="183"/>
      <c r="B43" s="185" t="s">
        <v>256</v>
      </c>
      <c r="C43" s="183"/>
      <c r="G43" s="185" t="s">
        <v>269</v>
      </c>
    </row>
    <row r="44" spans="1:3" ht="12.75" customHeight="1">
      <c r="A44" s="183"/>
      <c r="B44" s="185"/>
      <c r="C44" s="183"/>
    </row>
    <row r="45" ht="13.5" thickBot="1"/>
    <row r="46" spans="2:12" ht="12.75" customHeight="1">
      <c r="B46" s="501" t="s">
        <v>279</v>
      </c>
      <c r="C46" s="502"/>
      <c r="D46" s="502"/>
      <c r="E46" s="503"/>
      <c r="G46" s="501" t="s">
        <v>258</v>
      </c>
      <c r="H46" s="502"/>
      <c r="I46" s="502"/>
      <c r="J46" s="502"/>
      <c r="K46" s="502"/>
      <c r="L46" s="503"/>
    </row>
    <row r="47" spans="2:12" ht="12.75" customHeight="1">
      <c r="B47" s="504"/>
      <c r="C47" s="505"/>
      <c r="D47" s="505"/>
      <c r="E47" s="506"/>
      <c r="G47" s="504"/>
      <c r="H47" s="505"/>
      <c r="I47" s="505"/>
      <c r="J47" s="505"/>
      <c r="K47" s="505"/>
      <c r="L47" s="506"/>
    </row>
    <row r="48" spans="2:12" ht="12.75" customHeight="1">
      <c r="B48" s="504"/>
      <c r="C48" s="505"/>
      <c r="D48" s="505"/>
      <c r="E48" s="506"/>
      <c r="G48" s="504"/>
      <c r="H48" s="505"/>
      <c r="I48" s="505"/>
      <c r="J48" s="505"/>
      <c r="K48" s="505"/>
      <c r="L48" s="506"/>
    </row>
    <row r="49" spans="2:12" ht="12.75" customHeight="1">
      <c r="B49" s="504"/>
      <c r="C49" s="505"/>
      <c r="D49" s="505"/>
      <c r="E49" s="506"/>
      <c r="G49" s="504"/>
      <c r="H49" s="505"/>
      <c r="I49" s="505"/>
      <c r="J49" s="505"/>
      <c r="K49" s="505"/>
      <c r="L49" s="506"/>
    </row>
    <row r="50" spans="2:12" ht="12.75" customHeight="1">
      <c r="B50" s="504"/>
      <c r="C50" s="505"/>
      <c r="D50" s="505"/>
      <c r="E50" s="506"/>
      <c r="G50" s="504"/>
      <c r="H50" s="505"/>
      <c r="I50" s="505"/>
      <c r="J50" s="505"/>
      <c r="K50" s="505"/>
      <c r="L50" s="506"/>
    </row>
    <row r="51" spans="2:12" ht="16.5" customHeight="1">
      <c r="B51" s="504"/>
      <c r="C51" s="505"/>
      <c r="D51" s="505"/>
      <c r="E51" s="506"/>
      <c r="G51" s="504"/>
      <c r="H51" s="505"/>
      <c r="I51" s="505"/>
      <c r="J51" s="505"/>
      <c r="K51" s="505"/>
      <c r="L51" s="506"/>
    </row>
    <row r="52" spans="2:12" ht="15.75">
      <c r="B52" s="526" t="s">
        <v>300</v>
      </c>
      <c r="C52" s="527"/>
      <c r="D52" s="527"/>
      <c r="E52" s="528"/>
      <c r="G52" s="551" t="s">
        <v>229</v>
      </c>
      <c r="H52" s="552"/>
      <c r="I52" s="552"/>
      <c r="J52" s="552"/>
      <c r="K52" s="552"/>
      <c r="L52" s="553"/>
    </row>
    <row r="53" spans="2:12" ht="15.75">
      <c r="B53" s="526" t="s">
        <v>273</v>
      </c>
      <c r="C53" s="527"/>
      <c r="D53" s="527"/>
      <c r="E53" s="528"/>
      <c r="G53" s="551" t="s">
        <v>265</v>
      </c>
      <c r="H53" s="552"/>
      <c r="I53" s="552"/>
      <c r="J53" s="552"/>
      <c r="K53" s="552"/>
      <c r="L53" s="553"/>
    </row>
    <row r="54" spans="2:12" ht="12.75">
      <c r="B54" s="516" t="s">
        <v>297</v>
      </c>
      <c r="C54" s="517"/>
      <c r="D54" s="517"/>
      <c r="E54" s="518"/>
      <c r="G54" s="554" t="s">
        <v>233</v>
      </c>
      <c r="H54" s="555"/>
      <c r="I54" s="555"/>
      <c r="J54" s="555"/>
      <c r="K54" s="555"/>
      <c r="L54" s="556"/>
    </row>
    <row r="55" spans="2:12" ht="12.75">
      <c r="B55" s="516" t="s">
        <v>274</v>
      </c>
      <c r="C55" s="517"/>
      <c r="D55" s="517"/>
      <c r="E55" s="518"/>
      <c r="G55" s="554" t="s">
        <v>266</v>
      </c>
      <c r="H55" s="555"/>
      <c r="I55" s="555"/>
      <c r="J55" s="555"/>
      <c r="K55" s="555"/>
      <c r="L55" s="556"/>
    </row>
    <row r="56" spans="2:12" ht="12.75">
      <c r="B56" s="519" t="s">
        <v>275</v>
      </c>
      <c r="C56" s="520"/>
      <c r="D56" s="520"/>
      <c r="E56" s="521"/>
      <c r="G56" s="554" t="s">
        <v>267</v>
      </c>
      <c r="H56" s="555"/>
      <c r="I56" s="555"/>
      <c r="J56" s="555"/>
      <c r="K56" s="555"/>
      <c r="L56" s="556"/>
    </row>
    <row r="57" spans="2:12" ht="12.75">
      <c r="B57" s="522" t="s">
        <v>236</v>
      </c>
      <c r="C57" s="523"/>
      <c r="D57" s="524">
        <v>25</v>
      </c>
      <c r="E57" s="525"/>
      <c r="G57" s="522" t="s">
        <v>217</v>
      </c>
      <c r="H57" s="523"/>
      <c r="I57" s="523"/>
      <c r="J57" s="557">
        <v>12</v>
      </c>
      <c r="K57" s="557"/>
      <c r="L57" s="558"/>
    </row>
    <row r="58" spans="2:12" ht="12.75">
      <c r="B58" s="495"/>
      <c r="C58" s="496"/>
      <c r="D58" s="496"/>
      <c r="E58" s="497"/>
      <c r="G58" s="539"/>
      <c r="H58" s="540"/>
      <c r="I58" s="540"/>
      <c r="J58" s="540"/>
      <c r="K58" s="540"/>
      <c r="L58" s="541"/>
    </row>
    <row r="59" spans="2:12" ht="25.5">
      <c r="B59" s="498" t="s">
        <v>199</v>
      </c>
      <c r="C59" s="499"/>
      <c r="D59" s="311"/>
      <c r="E59" s="330"/>
      <c r="G59" s="542" t="s">
        <v>212</v>
      </c>
      <c r="H59" s="543"/>
      <c r="I59" s="543"/>
      <c r="J59" s="353" t="s">
        <v>235</v>
      </c>
      <c r="K59" s="353" t="s">
        <v>235</v>
      </c>
      <c r="L59" s="354" t="s">
        <v>216</v>
      </c>
    </row>
    <row r="60" spans="2:12" ht="12.75">
      <c r="B60" s="327" t="s">
        <v>200</v>
      </c>
      <c r="C60" s="311"/>
      <c r="D60" s="312">
        <v>0</v>
      </c>
      <c r="E60" s="328"/>
      <c r="G60" s="327" t="s">
        <v>200</v>
      </c>
      <c r="H60" s="311"/>
      <c r="I60" s="311"/>
      <c r="J60" s="312">
        <v>0</v>
      </c>
      <c r="K60" s="312">
        <v>0</v>
      </c>
      <c r="L60" s="328">
        <f>+K60-J60</f>
        <v>0</v>
      </c>
    </row>
    <row r="61" spans="2:12" ht="12.75">
      <c r="B61" s="327" t="s">
        <v>110</v>
      </c>
      <c r="C61" s="311"/>
      <c r="D61" s="312">
        <v>0</v>
      </c>
      <c r="E61" s="328"/>
      <c r="G61" s="327" t="s">
        <v>110</v>
      </c>
      <c r="H61" s="311"/>
      <c r="I61" s="311"/>
      <c r="J61" s="312">
        <v>0</v>
      </c>
      <c r="K61" s="312">
        <f>+J61</f>
        <v>0</v>
      </c>
      <c r="L61" s="328">
        <f>+K61-J61</f>
        <v>0</v>
      </c>
    </row>
    <row r="62" spans="2:12" ht="12.75">
      <c r="B62" s="327" t="s">
        <v>201</v>
      </c>
      <c r="C62" s="311"/>
      <c r="D62" s="312">
        <v>0</v>
      </c>
      <c r="E62" s="328"/>
      <c r="G62" s="327" t="s">
        <v>201</v>
      </c>
      <c r="H62" s="311"/>
      <c r="I62" s="311"/>
      <c r="J62" s="312">
        <f>+J60*40%</f>
        <v>0</v>
      </c>
      <c r="K62" s="312">
        <f>+K60*40%</f>
        <v>0</v>
      </c>
      <c r="L62" s="328">
        <f>+K62-J62</f>
        <v>0</v>
      </c>
    </row>
    <row r="63" spans="2:12" ht="12.75">
      <c r="B63" s="327" t="s">
        <v>113</v>
      </c>
      <c r="C63" s="311"/>
      <c r="D63" s="312">
        <v>0</v>
      </c>
      <c r="E63" s="328"/>
      <c r="G63" s="327" t="s">
        <v>113</v>
      </c>
      <c r="H63" s="311"/>
      <c r="I63" s="311"/>
      <c r="J63" s="312">
        <v>0</v>
      </c>
      <c r="K63" s="312">
        <v>0</v>
      </c>
      <c r="L63" s="328">
        <f>+K63-J63</f>
        <v>0</v>
      </c>
    </row>
    <row r="64" spans="2:12" ht="12.75" hidden="1">
      <c r="B64" s="327" t="s">
        <v>111</v>
      </c>
      <c r="C64" s="311"/>
      <c r="D64" s="312">
        <v>0</v>
      </c>
      <c r="E64" s="328"/>
      <c r="G64" s="327" t="s">
        <v>111</v>
      </c>
      <c r="H64" s="311"/>
      <c r="I64" s="316"/>
      <c r="J64" s="312">
        <v>0</v>
      </c>
      <c r="K64" s="312">
        <v>0</v>
      </c>
      <c r="L64" s="328">
        <f>+K64-J64</f>
        <v>0</v>
      </c>
    </row>
    <row r="65" spans="2:12" ht="12.75">
      <c r="B65" s="327" t="s">
        <v>241</v>
      </c>
      <c r="C65" s="374">
        <v>0</v>
      </c>
      <c r="D65" s="312">
        <f>ROUND((C65/12),0)</f>
        <v>0</v>
      </c>
      <c r="E65" s="328"/>
      <c r="F65" s="180"/>
      <c r="G65" s="327" t="s">
        <v>241</v>
      </c>
      <c r="H65" s="313">
        <v>0</v>
      </c>
      <c r="I65" s="313">
        <v>0</v>
      </c>
      <c r="J65" s="312">
        <f>ROUND((H65/12),0)</f>
        <v>0</v>
      </c>
      <c r="K65" s="312">
        <f>ROUND((I65/12),0)</f>
        <v>0</v>
      </c>
      <c r="L65" s="328">
        <f>ROUND((K65-J65),0)</f>
        <v>0</v>
      </c>
    </row>
    <row r="66" spans="2:12" ht="12.75">
      <c r="B66" s="327" t="s">
        <v>298</v>
      </c>
      <c r="C66" s="312">
        <v>0</v>
      </c>
      <c r="D66" s="312">
        <f>ROUND((C66/12),0)</f>
        <v>0</v>
      </c>
      <c r="E66" s="328"/>
      <c r="G66" s="327" t="s">
        <v>268</v>
      </c>
      <c r="H66" s="313">
        <v>0</v>
      </c>
      <c r="I66" s="313">
        <v>0</v>
      </c>
      <c r="J66" s="312">
        <f>ROUND((H66/12),0)</f>
        <v>0</v>
      </c>
      <c r="K66" s="312">
        <f>ROUND((I66/12),0)</f>
        <v>0</v>
      </c>
      <c r="L66" s="328">
        <f>ROUND((K66-J66),0)</f>
        <v>0</v>
      </c>
    </row>
    <row r="67" spans="2:13" ht="15.75" thickBot="1">
      <c r="B67" s="329" t="s">
        <v>35</v>
      </c>
      <c r="C67" s="311"/>
      <c r="D67" s="318">
        <f>ROUND(((D60+D61+D62+D63+D64+D65+D66)/30*D57)/360*360,0)</f>
        <v>0</v>
      </c>
      <c r="E67" s="335"/>
      <c r="F67" s="315">
        <f>ROUND(((D60+D61+D62+D63)/30*D57)/360*360,0)</f>
        <v>0</v>
      </c>
      <c r="G67" s="329" t="s">
        <v>66</v>
      </c>
      <c r="H67" s="311"/>
      <c r="I67" s="314">
        <f>+J57</f>
        <v>12</v>
      </c>
      <c r="J67" s="318">
        <f>ROUND(((J60+J61+J62+J63+J64+J65+J66)/30)/360*360,0)</f>
        <v>0</v>
      </c>
      <c r="K67" s="318">
        <f>ROUND(((K60+K61+K62+K63+K64+K65+K66)/30)/360*360,0)</f>
        <v>0</v>
      </c>
      <c r="L67" s="355">
        <f>ROUND(((L60+L61+L62+L63+L64+L65+L66)/30*J57)/360*0,0)</f>
        <v>0</v>
      </c>
      <c r="M67" s="211"/>
    </row>
    <row r="68" spans="2:12" ht="12.75">
      <c r="B68" s="327"/>
      <c r="C68" s="311"/>
      <c r="D68" s="311"/>
      <c r="E68" s="330"/>
      <c r="F68" s="180"/>
      <c r="G68" s="327"/>
      <c r="H68" s="311"/>
      <c r="I68" s="311"/>
      <c r="J68" s="356"/>
      <c r="K68" s="356"/>
      <c r="L68" s="330"/>
    </row>
    <row r="69" spans="2:12" ht="12.75">
      <c r="B69" s="327"/>
      <c r="C69" s="311"/>
      <c r="D69" s="311"/>
      <c r="E69" s="330"/>
      <c r="F69" s="180"/>
      <c r="G69" s="327"/>
      <c r="H69" s="311"/>
      <c r="I69" s="311"/>
      <c r="J69" s="544" t="str">
        <f>+J59</f>
        <v>Valor día 2012</v>
      </c>
      <c r="K69" s="544" t="str">
        <f>+K59</f>
        <v>Valor día 2012</v>
      </c>
      <c r="L69" s="546" t="str">
        <f>+L59</f>
        <v>Diferencia</v>
      </c>
    </row>
    <row r="70" spans="2:12" ht="15">
      <c r="B70" s="498" t="s">
        <v>5</v>
      </c>
      <c r="C70" s="500"/>
      <c r="D70" s="311"/>
      <c r="E70" s="330"/>
      <c r="F70" s="180"/>
      <c r="G70" s="498" t="s">
        <v>213</v>
      </c>
      <c r="H70" s="500"/>
      <c r="I70" s="500"/>
      <c r="J70" s="545"/>
      <c r="K70" s="545"/>
      <c r="L70" s="547"/>
    </row>
    <row r="71" spans="2:12" ht="12.75">
      <c r="B71" s="327" t="s">
        <v>200</v>
      </c>
      <c r="C71" s="311"/>
      <c r="D71" s="312">
        <f>+D60</f>
        <v>0</v>
      </c>
      <c r="E71" s="328"/>
      <c r="G71" s="327" t="s">
        <v>200</v>
      </c>
      <c r="H71" s="311"/>
      <c r="I71" s="311"/>
      <c r="J71" s="312">
        <f aca="true" t="shared" si="2" ref="J71:K77">+J60</f>
        <v>0</v>
      </c>
      <c r="K71" s="312">
        <f t="shared" si="2"/>
        <v>0</v>
      </c>
      <c r="L71" s="328">
        <f>+K71-J71</f>
        <v>0</v>
      </c>
    </row>
    <row r="72" spans="2:12" ht="12.75" customHeight="1">
      <c r="B72" s="327" t="s">
        <v>110</v>
      </c>
      <c r="C72" s="311"/>
      <c r="D72" s="312">
        <f>+D61</f>
        <v>0</v>
      </c>
      <c r="E72" s="328"/>
      <c r="G72" s="327" t="s">
        <v>110</v>
      </c>
      <c r="H72" s="311"/>
      <c r="I72" s="311"/>
      <c r="J72" s="312">
        <f t="shared" si="2"/>
        <v>0</v>
      </c>
      <c r="K72" s="312">
        <f t="shared" si="2"/>
        <v>0</v>
      </c>
      <c r="L72" s="328">
        <f aca="true" t="shared" si="3" ref="L72:L77">+K72-J72</f>
        <v>0</v>
      </c>
    </row>
    <row r="73" spans="2:12" ht="12.75" customHeight="1">
      <c r="B73" s="327" t="s">
        <v>201</v>
      </c>
      <c r="C73" s="311"/>
      <c r="D73" s="312">
        <f>+D62</f>
        <v>0</v>
      </c>
      <c r="E73" s="328"/>
      <c r="G73" s="327" t="s">
        <v>201</v>
      </c>
      <c r="H73" s="311"/>
      <c r="I73" s="311"/>
      <c r="J73" s="312">
        <f t="shared" si="2"/>
        <v>0</v>
      </c>
      <c r="K73" s="312">
        <f t="shared" si="2"/>
        <v>0</v>
      </c>
      <c r="L73" s="328">
        <f t="shared" si="3"/>
        <v>0</v>
      </c>
    </row>
    <row r="74" spans="2:12" ht="12.75" customHeight="1">
      <c r="B74" s="327" t="s">
        <v>113</v>
      </c>
      <c r="C74" s="311"/>
      <c r="D74" s="312">
        <f>+D63</f>
        <v>0</v>
      </c>
      <c r="E74" s="328"/>
      <c r="G74" s="327" t="s">
        <v>113</v>
      </c>
      <c r="H74" s="311"/>
      <c r="I74" s="311"/>
      <c r="J74" s="312">
        <f t="shared" si="2"/>
        <v>0</v>
      </c>
      <c r="K74" s="312">
        <f t="shared" si="2"/>
        <v>0</v>
      </c>
      <c r="L74" s="328">
        <f t="shared" si="3"/>
        <v>0</v>
      </c>
    </row>
    <row r="75" spans="2:12" ht="12.75" customHeight="1">
      <c r="B75" s="327" t="s">
        <v>111</v>
      </c>
      <c r="C75" s="311"/>
      <c r="D75" s="312">
        <f>+D64</f>
        <v>0</v>
      </c>
      <c r="E75" s="328"/>
      <c r="G75" s="327" t="s">
        <v>111</v>
      </c>
      <c r="H75" s="311"/>
      <c r="I75" s="316"/>
      <c r="J75" s="312">
        <f t="shared" si="2"/>
        <v>0</v>
      </c>
      <c r="K75" s="312">
        <f t="shared" si="2"/>
        <v>0</v>
      </c>
      <c r="L75" s="328">
        <f t="shared" si="3"/>
        <v>0</v>
      </c>
    </row>
    <row r="76" spans="2:12" ht="12.75" customHeight="1">
      <c r="B76" s="327" t="str">
        <f>+B65</f>
        <v>1/12 Prima de Servicios Cancelada en Junio 2012</v>
      </c>
      <c r="C76" s="374">
        <f>+C65</f>
        <v>0</v>
      </c>
      <c r="D76" s="312">
        <f>ROUND((D65),0)</f>
        <v>0</v>
      </c>
      <c r="E76" s="328"/>
      <c r="G76" s="327" t="str">
        <f aca="true" t="shared" si="4" ref="G76:I77">+G65</f>
        <v>1/12 Prima de Servicios Cancelada en Junio 2012</v>
      </c>
      <c r="H76" s="373">
        <f t="shared" si="4"/>
        <v>0</v>
      </c>
      <c r="I76" s="313">
        <f t="shared" si="4"/>
        <v>0</v>
      </c>
      <c r="J76" s="312">
        <f t="shared" si="2"/>
        <v>0</v>
      </c>
      <c r="K76" s="312">
        <f>ROUND((I76/12),0)</f>
        <v>0</v>
      </c>
      <c r="L76" s="328">
        <f t="shared" si="3"/>
        <v>0</v>
      </c>
    </row>
    <row r="77" spans="2:12" ht="12.75">
      <c r="B77" s="327" t="str">
        <f>+B66</f>
        <v>1/12 Bonificación Servicios Prestados Cancelada en mayo 2012</v>
      </c>
      <c r="C77" s="312">
        <f>+C66</f>
        <v>0</v>
      </c>
      <c r="D77" s="312">
        <f>ROUND((D66),0)</f>
        <v>0</v>
      </c>
      <c r="E77" s="328"/>
      <c r="G77" s="327" t="str">
        <f t="shared" si="4"/>
        <v>1/12 Bonificación Servicios Prestados Cancelada en Octubre 2011 - 2012</v>
      </c>
      <c r="H77" s="373">
        <f t="shared" si="4"/>
        <v>0</v>
      </c>
      <c r="I77" s="313">
        <f t="shared" si="4"/>
        <v>0</v>
      </c>
      <c r="J77" s="312">
        <f t="shared" si="2"/>
        <v>0</v>
      </c>
      <c r="K77" s="312">
        <f>ROUND((I77/12),0)</f>
        <v>0</v>
      </c>
      <c r="L77" s="328">
        <f t="shared" si="3"/>
        <v>0</v>
      </c>
    </row>
    <row r="78" spans="2:12" ht="15.75" thickBot="1">
      <c r="B78" s="329" t="s">
        <v>219</v>
      </c>
      <c r="C78" s="311"/>
      <c r="D78" s="318">
        <f>ROUND((D71+D72+D73+D74+D75+D76+D77)/2*360/360,0)</f>
        <v>0</v>
      </c>
      <c r="E78" s="336"/>
      <c r="G78" s="329" t="s">
        <v>67</v>
      </c>
      <c r="H78" s="311"/>
      <c r="I78" s="314">
        <v>15</v>
      </c>
      <c r="J78" s="315">
        <f>ROUND((J71+J72+J73+J74+J75+J76+J77)/2*360/360,0)</f>
        <v>0</v>
      </c>
      <c r="K78" s="315">
        <f>ROUND((K71+K72+K73+K74+K75+K76+K77)/2*360/360,0)</f>
        <v>0</v>
      </c>
      <c r="L78" s="357">
        <f>((L71+L72+L73+L74+L75+L76+L77)/30*0)</f>
        <v>0</v>
      </c>
    </row>
    <row r="79" spans="2:12" ht="12.75">
      <c r="B79" s="327"/>
      <c r="C79" s="311"/>
      <c r="D79" s="312"/>
      <c r="E79" s="328"/>
      <c r="G79" s="327"/>
      <c r="H79" s="311"/>
      <c r="I79" s="311"/>
      <c r="J79" s="312"/>
      <c r="K79" s="312"/>
      <c r="L79" s="328"/>
    </row>
    <row r="80" spans="2:12" ht="15">
      <c r="B80" s="498" t="s">
        <v>36</v>
      </c>
      <c r="C80" s="500"/>
      <c r="D80" s="312"/>
      <c r="E80" s="328"/>
      <c r="G80" s="498" t="s">
        <v>36</v>
      </c>
      <c r="H80" s="500"/>
      <c r="I80" s="312"/>
      <c r="J80" s="312"/>
      <c r="K80" s="312"/>
      <c r="L80" s="328"/>
    </row>
    <row r="81" spans="2:12" ht="12.75">
      <c r="B81" s="327" t="s">
        <v>200</v>
      </c>
      <c r="C81" s="311"/>
      <c r="D81" s="312">
        <f>ROUND((D60),0)</f>
        <v>0</v>
      </c>
      <c r="E81" s="328"/>
      <c r="G81" s="327" t="s">
        <v>200</v>
      </c>
      <c r="H81" s="311"/>
      <c r="I81" s="183"/>
      <c r="J81" s="312">
        <f>+J60</f>
        <v>0</v>
      </c>
      <c r="K81" s="312">
        <f>+K60</f>
        <v>0</v>
      </c>
      <c r="L81" s="328">
        <f>+K81-J81</f>
        <v>0</v>
      </c>
    </row>
    <row r="82" spans="2:12" ht="15.75" thickBot="1">
      <c r="B82" s="329" t="s">
        <v>128</v>
      </c>
      <c r="C82" s="311"/>
      <c r="D82" s="318">
        <f>ROUND(((D81/30)*2),0)</f>
        <v>0</v>
      </c>
      <c r="E82" s="336"/>
      <c r="G82" s="329" t="s">
        <v>128</v>
      </c>
      <c r="H82" s="311"/>
      <c r="I82" s="183"/>
      <c r="J82" s="318">
        <f>ROUND(J81/30*2,0)</f>
        <v>0</v>
      </c>
      <c r="K82" s="318">
        <f>ROUND(K81/30*2,0)</f>
        <v>0</v>
      </c>
      <c r="L82" s="355">
        <f>ROUND(L81/30*2,0)</f>
        <v>0</v>
      </c>
    </row>
    <row r="83" spans="2:12" ht="12.75">
      <c r="B83" s="327"/>
      <c r="C83" s="311"/>
      <c r="D83" s="311"/>
      <c r="E83" s="330"/>
      <c r="G83" s="327"/>
      <c r="H83" s="311"/>
      <c r="I83" s="183"/>
      <c r="J83" s="311"/>
      <c r="K83" s="311"/>
      <c r="L83" s="328"/>
    </row>
    <row r="84" spans="2:12" ht="15.75">
      <c r="B84" s="331" t="s">
        <v>37</v>
      </c>
      <c r="C84" s="316"/>
      <c r="D84" s="317">
        <f>D67+D78+D82</f>
        <v>0</v>
      </c>
      <c r="E84" s="337"/>
      <c r="G84" s="331" t="s">
        <v>214</v>
      </c>
      <c r="H84" s="316"/>
      <c r="I84" s="316"/>
      <c r="J84" s="532">
        <f>+L67+L78+L82</f>
        <v>0</v>
      </c>
      <c r="K84" s="532"/>
      <c r="L84" s="533"/>
    </row>
    <row r="85" spans="2:12" ht="13.5" thickBot="1">
      <c r="B85" s="332"/>
      <c r="C85" s="333"/>
      <c r="D85" s="333"/>
      <c r="E85" s="334"/>
      <c r="G85" s="332"/>
      <c r="H85" s="333"/>
      <c r="I85" s="333"/>
      <c r="J85" s="333"/>
      <c r="K85" s="333"/>
      <c r="L85" s="334"/>
    </row>
    <row r="86" spans="2:7" ht="12.75">
      <c r="B86" s="185" t="s">
        <v>127</v>
      </c>
      <c r="G86" s="185" t="s">
        <v>127</v>
      </c>
    </row>
    <row r="87" spans="2:7" ht="12.75" customHeight="1">
      <c r="B87" s="185" t="s">
        <v>252</v>
      </c>
      <c r="G87" s="185" t="s">
        <v>252</v>
      </c>
    </row>
    <row r="88" spans="2:14" s="183" customFormat="1" ht="12.75">
      <c r="B88" s="185" t="s">
        <v>256</v>
      </c>
      <c r="G88" s="185" t="s">
        <v>256</v>
      </c>
      <c r="N88" s="356"/>
    </row>
    <row r="89" ht="12.75">
      <c r="B89" s="185"/>
    </row>
    <row r="90" ht="12.75"/>
    <row r="91" spans="2:12" ht="12.75" customHeight="1">
      <c r="B91" s="501" t="s">
        <v>279</v>
      </c>
      <c r="C91" s="502"/>
      <c r="D91" s="502"/>
      <c r="E91" s="503"/>
      <c r="G91" s="501" t="s">
        <v>248</v>
      </c>
      <c r="H91" s="502"/>
      <c r="I91" s="502"/>
      <c r="J91" s="502"/>
      <c r="K91" s="502"/>
      <c r="L91" s="503"/>
    </row>
    <row r="92" spans="2:12" ht="12.75" customHeight="1">
      <c r="B92" s="504"/>
      <c r="C92" s="505"/>
      <c r="D92" s="505"/>
      <c r="E92" s="506"/>
      <c r="G92" s="504"/>
      <c r="H92" s="505"/>
      <c r="I92" s="505"/>
      <c r="J92" s="505"/>
      <c r="K92" s="505"/>
      <c r="L92" s="506"/>
    </row>
    <row r="93" spans="2:12" ht="12.75" customHeight="1">
      <c r="B93" s="504"/>
      <c r="C93" s="505"/>
      <c r="D93" s="505"/>
      <c r="E93" s="506"/>
      <c r="G93" s="504"/>
      <c r="H93" s="505"/>
      <c r="I93" s="505"/>
      <c r="J93" s="505"/>
      <c r="K93" s="505"/>
      <c r="L93" s="506"/>
    </row>
    <row r="94" spans="2:12" ht="12.75" customHeight="1">
      <c r="B94" s="504"/>
      <c r="C94" s="505"/>
      <c r="D94" s="505"/>
      <c r="E94" s="506"/>
      <c r="G94" s="504"/>
      <c r="H94" s="505"/>
      <c r="I94" s="505"/>
      <c r="J94" s="505"/>
      <c r="K94" s="505"/>
      <c r="L94" s="506"/>
    </row>
    <row r="95" spans="2:12" ht="12.75" customHeight="1">
      <c r="B95" s="504"/>
      <c r="C95" s="505"/>
      <c r="D95" s="505"/>
      <c r="E95" s="506"/>
      <c r="G95" s="504"/>
      <c r="H95" s="505"/>
      <c r="I95" s="505"/>
      <c r="J95" s="505"/>
      <c r="K95" s="505"/>
      <c r="L95" s="506"/>
    </row>
    <row r="96" spans="2:12" ht="12.75" customHeight="1">
      <c r="B96" s="504"/>
      <c r="C96" s="505"/>
      <c r="D96" s="505"/>
      <c r="E96" s="506"/>
      <c r="G96" s="504"/>
      <c r="H96" s="505"/>
      <c r="I96" s="505"/>
      <c r="J96" s="505"/>
      <c r="K96" s="505"/>
      <c r="L96" s="506"/>
    </row>
    <row r="97" spans="2:12" ht="15.75" customHeight="1">
      <c r="B97" s="526" t="s">
        <v>229</v>
      </c>
      <c r="C97" s="527"/>
      <c r="D97" s="527"/>
      <c r="E97" s="528"/>
      <c r="G97" s="548" t="s">
        <v>229</v>
      </c>
      <c r="H97" s="549"/>
      <c r="I97" s="549"/>
      <c r="J97" s="549"/>
      <c r="K97" s="549"/>
      <c r="L97" s="550"/>
    </row>
    <row r="98" spans="2:12" ht="15.75" customHeight="1">
      <c r="B98" s="526" t="s">
        <v>276</v>
      </c>
      <c r="C98" s="527"/>
      <c r="D98" s="527"/>
      <c r="E98" s="528"/>
      <c r="G98" s="548" t="s">
        <v>249</v>
      </c>
      <c r="H98" s="549"/>
      <c r="I98" s="549"/>
      <c r="J98" s="549"/>
      <c r="K98" s="549"/>
      <c r="L98" s="550"/>
    </row>
    <row r="99" spans="2:12" ht="12.75" customHeight="1">
      <c r="B99" s="516" t="s">
        <v>291</v>
      </c>
      <c r="C99" s="517"/>
      <c r="D99" s="517"/>
      <c r="E99" s="518"/>
      <c r="G99" s="554" t="s">
        <v>243</v>
      </c>
      <c r="H99" s="555"/>
      <c r="I99" s="555"/>
      <c r="J99" s="555"/>
      <c r="K99" s="555"/>
      <c r="L99" s="556"/>
    </row>
    <row r="100" spans="2:12" ht="12.75" customHeight="1">
      <c r="B100" s="516" t="s">
        <v>277</v>
      </c>
      <c r="C100" s="517"/>
      <c r="D100" s="517"/>
      <c r="E100" s="518"/>
      <c r="G100" s="554" t="s">
        <v>244</v>
      </c>
      <c r="H100" s="555"/>
      <c r="I100" s="555"/>
      <c r="J100" s="555"/>
      <c r="K100" s="555"/>
      <c r="L100" s="556"/>
    </row>
    <row r="101" spans="2:12" ht="12.75" customHeight="1">
      <c r="B101" s="519" t="s">
        <v>278</v>
      </c>
      <c r="C101" s="520"/>
      <c r="D101" s="520"/>
      <c r="E101" s="521"/>
      <c r="G101" s="554" t="s">
        <v>239</v>
      </c>
      <c r="H101" s="555"/>
      <c r="I101" s="555"/>
      <c r="J101" s="555"/>
      <c r="K101" s="555"/>
      <c r="L101" s="556"/>
    </row>
    <row r="102" spans="2:12" ht="12.75" customHeight="1">
      <c r="B102" s="522" t="s">
        <v>237</v>
      </c>
      <c r="C102" s="523"/>
      <c r="D102" s="524">
        <v>25</v>
      </c>
      <c r="E102" s="525"/>
      <c r="G102" s="522" t="s">
        <v>217</v>
      </c>
      <c r="H102" s="523"/>
      <c r="I102" s="523"/>
      <c r="J102" s="557">
        <v>0</v>
      </c>
      <c r="K102" s="557"/>
      <c r="L102" s="558"/>
    </row>
    <row r="103" spans="2:12" ht="12.75" customHeight="1">
      <c r="B103" s="495"/>
      <c r="C103" s="496"/>
      <c r="D103" s="496"/>
      <c r="E103" s="497"/>
      <c r="G103" s="539"/>
      <c r="H103" s="540"/>
      <c r="I103" s="540"/>
      <c r="J103" s="540"/>
      <c r="K103" s="540"/>
      <c r="L103" s="541"/>
    </row>
    <row r="104" spans="2:12" ht="25.5" customHeight="1">
      <c r="B104" s="498" t="s">
        <v>199</v>
      </c>
      <c r="C104" s="499"/>
      <c r="D104" s="311"/>
      <c r="E104" s="330"/>
      <c r="G104" s="542" t="s">
        <v>212</v>
      </c>
      <c r="H104" s="543"/>
      <c r="I104" s="543"/>
      <c r="J104" s="353" t="s">
        <v>245</v>
      </c>
      <c r="K104" s="353" t="s">
        <v>246</v>
      </c>
      <c r="L104" s="354" t="s">
        <v>216</v>
      </c>
    </row>
    <row r="105" spans="2:12" ht="12.75" customHeight="1">
      <c r="B105" s="327" t="s">
        <v>200</v>
      </c>
      <c r="C105" s="311"/>
      <c r="D105" s="312">
        <v>0</v>
      </c>
      <c r="E105" s="328"/>
      <c r="G105" s="327" t="s">
        <v>200</v>
      </c>
      <c r="H105" s="311"/>
      <c r="I105" s="311"/>
      <c r="J105" s="312">
        <v>0</v>
      </c>
      <c r="K105" s="312">
        <v>0</v>
      </c>
      <c r="L105" s="328">
        <f>+K105-J105</f>
        <v>0</v>
      </c>
    </row>
    <row r="106" spans="2:12" ht="12.75" customHeight="1" hidden="1">
      <c r="B106" s="327" t="s">
        <v>110</v>
      </c>
      <c r="C106" s="311"/>
      <c r="D106" s="312">
        <v>0</v>
      </c>
      <c r="E106" s="328"/>
      <c r="G106" s="327" t="s">
        <v>110</v>
      </c>
      <c r="H106" s="311"/>
      <c r="I106" s="311"/>
      <c r="J106" s="312">
        <v>0</v>
      </c>
      <c r="K106" s="312">
        <f>+J106</f>
        <v>0</v>
      </c>
      <c r="L106" s="328">
        <f>+K106-J106</f>
        <v>0</v>
      </c>
    </row>
    <row r="107" spans="2:12" ht="12.75" customHeight="1">
      <c r="B107" s="327" t="s">
        <v>201</v>
      </c>
      <c r="C107" s="311"/>
      <c r="D107" s="312">
        <v>0</v>
      </c>
      <c r="E107" s="328"/>
      <c r="G107" s="327" t="s">
        <v>201</v>
      </c>
      <c r="H107" s="311"/>
      <c r="I107" s="311"/>
      <c r="J107" s="312">
        <f>+J105*40%</f>
        <v>0</v>
      </c>
      <c r="K107" s="312">
        <f>+K105*40%</f>
        <v>0</v>
      </c>
      <c r="L107" s="328">
        <f>+K107-J107</f>
        <v>0</v>
      </c>
    </row>
    <row r="108" spans="2:12" ht="12.75" customHeight="1" hidden="1">
      <c r="B108" s="327" t="s">
        <v>113</v>
      </c>
      <c r="C108" s="311"/>
      <c r="D108" s="312">
        <v>0</v>
      </c>
      <c r="E108" s="328"/>
      <c r="G108" s="327" t="s">
        <v>113</v>
      </c>
      <c r="H108" s="311"/>
      <c r="I108" s="311"/>
      <c r="J108" s="312">
        <v>0</v>
      </c>
      <c r="K108" s="312">
        <v>0</v>
      </c>
      <c r="L108" s="328">
        <f>+K108-J108</f>
        <v>0</v>
      </c>
    </row>
    <row r="109" spans="2:12" ht="12.75" customHeight="1" hidden="1">
      <c r="B109" s="327" t="s">
        <v>111</v>
      </c>
      <c r="C109" s="311"/>
      <c r="D109" s="312">
        <v>0</v>
      </c>
      <c r="E109" s="328"/>
      <c r="G109" s="327" t="s">
        <v>111</v>
      </c>
      <c r="H109" s="311"/>
      <c r="I109" s="316"/>
      <c r="J109" s="312">
        <v>0</v>
      </c>
      <c r="K109" s="312">
        <v>0</v>
      </c>
      <c r="L109" s="328">
        <f>+K109-J109</f>
        <v>0</v>
      </c>
    </row>
    <row r="110" spans="2:12" ht="12.75" customHeight="1">
      <c r="B110" s="327" t="s">
        <v>241</v>
      </c>
      <c r="C110" s="312">
        <v>0</v>
      </c>
      <c r="D110" s="312">
        <f>ROUND((C110/12),0)</f>
        <v>0</v>
      </c>
      <c r="E110" s="328"/>
      <c r="G110" s="327" t="s">
        <v>242</v>
      </c>
      <c r="H110" s="313">
        <v>0</v>
      </c>
      <c r="I110" s="313">
        <v>0</v>
      </c>
      <c r="J110" s="312">
        <f>ROUND((H110/12),0)</f>
        <v>0</v>
      </c>
      <c r="K110" s="312">
        <f>ROUND((I110/12),0)</f>
        <v>0</v>
      </c>
      <c r="L110" s="328">
        <f>ROUND((K110-J110),0)</f>
        <v>0</v>
      </c>
    </row>
    <row r="111" spans="2:12" ht="12.75" customHeight="1">
      <c r="B111" s="390" t="s">
        <v>292</v>
      </c>
      <c r="C111" s="312">
        <v>0</v>
      </c>
      <c r="D111" s="312">
        <f>ROUND((C111/12),0)</f>
        <v>0</v>
      </c>
      <c r="E111" s="328"/>
      <c r="G111" s="327" t="s">
        <v>247</v>
      </c>
      <c r="H111" s="313">
        <v>0</v>
      </c>
      <c r="I111" s="313">
        <v>0</v>
      </c>
      <c r="J111" s="312">
        <f>ROUND((H111/12),0)</f>
        <v>0</v>
      </c>
      <c r="K111" s="312">
        <f>ROUND((I111/12),0)</f>
        <v>0</v>
      </c>
      <c r="L111" s="328">
        <f>ROUND((K111-J111),0)</f>
        <v>0</v>
      </c>
    </row>
    <row r="112" spans="2:12" ht="15.75" customHeight="1" thickBot="1">
      <c r="B112" s="329" t="s">
        <v>293</v>
      </c>
      <c r="C112" s="311"/>
      <c r="D112" s="318">
        <f>ROUND(((D105+D106+D107+D108+D109+D110+D111)/30*D102)/360*360,0)</f>
        <v>0</v>
      </c>
      <c r="E112" s="335"/>
      <c r="F112" s="315">
        <f>ROUND(((D105+D106+D107+D108)/30*D102)/360*360,0)</f>
        <v>0</v>
      </c>
      <c r="G112" s="329" t="s">
        <v>220</v>
      </c>
      <c r="H112" s="311"/>
      <c r="I112" s="314">
        <f>+J102</f>
        <v>0</v>
      </c>
      <c r="J112" s="318">
        <f>ROUND(((J105+J106+J107+J108+J109+J110+J111)/30)/360*360,0)</f>
        <v>0</v>
      </c>
      <c r="K112" s="318">
        <f>ROUND(((K105+K106+K107+K108+K109+K110+K111)/30)/360*360,0)</f>
        <v>0</v>
      </c>
      <c r="L112" s="355">
        <f>ROUND(((L105+L106+L107+L108+L109+L110+L111)/30*J102)/360*360,0)</f>
        <v>0</v>
      </c>
    </row>
    <row r="113" spans="2:12" ht="12.75" customHeight="1">
      <c r="B113" s="327"/>
      <c r="C113" s="311"/>
      <c r="D113" s="311"/>
      <c r="E113" s="330"/>
      <c r="G113" s="327"/>
      <c r="H113" s="311"/>
      <c r="I113" s="311"/>
      <c r="J113" s="356"/>
      <c r="K113" s="356"/>
      <c r="L113" s="330"/>
    </row>
    <row r="114" spans="2:12" ht="12.75" customHeight="1">
      <c r="B114" s="327"/>
      <c r="C114" s="311"/>
      <c r="D114" s="311"/>
      <c r="E114" s="330"/>
      <c r="G114" s="327"/>
      <c r="H114" s="311"/>
      <c r="I114" s="311"/>
      <c r="J114" s="544" t="str">
        <f>+J104</f>
        <v>Valor día 052012</v>
      </c>
      <c r="K114" s="544" t="str">
        <f>+K104</f>
        <v>Valor día 062012</v>
      </c>
      <c r="L114" s="546" t="str">
        <f>+L104</f>
        <v>Diferencia</v>
      </c>
    </row>
    <row r="115" spans="2:12" ht="15" customHeight="1">
      <c r="B115" s="498" t="s">
        <v>5</v>
      </c>
      <c r="C115" s="500"/>
      <c r="D115" s="311"/>
      <c r="E115" s="330"/>
      <c r="G115" s="498" t="s">
        <v>213</v>
      </c>
      <c r="H115" s="500"/>
      <c r="I115" s="500"/>
      <c r="J115" s="545"/>
      <c r="K115" s="545"/>
      <c r="L115" s="547"/>
    </row>
    <row r="116" spans="2:12" ht="12.75" customHeight="1">
      <c r="B116" s="327" t="s">
        <v>200</v>
      </c>
      <c r="C116" s="311"/>
      <c r="D116" s="312">
        <f aca="true" t="shared" si="5" ref="D116:D122">+D105</f>
        <v>0</v>
      </c>
      <c r="E116" s="328"/>
      <c r="G116" s="327" t="s">
        <v>200</v>
      </c>
      <c r="H116" s="311"/>
      <c r="I116" s="311"/>
      <c r="J116" s="312">
        <f aca="true" t="shared" si="6" ref="J116:K122">+J105</f>
        <v>0</v>
      </c>
      <c r="K116" s="312">
        <f t="shared" si="6"/>
        <v>0</v>
      </c>
      <c r="L116" s="328">
        <f>+K116-J116</f>
        <v>0</v>
      </c>
    </row>
    <row r="117" spans="2:12" ht="12.75" customHeight="1" hidden="1">
      <c r="B117" s="327" t="s">
        <v>110</v>
      </c>
      <c r="C117" s="311"/>
      <c r="D117" s="312">
        <f t="shared" si="5"/>
        <v>0</v>
      </c>
      <c r="E117" s="328"/>
      <c r="G117" s="327" t="s">
        <v>110</v>
      </c>
      <c r="H117" s="311"/>
      <c r="I117" s="311"/>
      <c r="J117" s="312">
        <f t="shared" si="6"/>
        <v>0</v>
      </c>
      <c r="K117" s="312">
        <f t="shared" si="6"/>
        <v>0</v>
      </c>
      <c r="L117" s="328">
        <f aca="true" t="shared" si="7" ref="L117:L122">+K117-J117</f>
        <v>0</v>
      </c>
    </row>
    <row r="118" spans="2:12" ht="12.75" customHeight="1">
      <c r="B118" s="327" t="s">
        <v>201</v>
      </c>
      <c r="C118" s="311"/>
      <c r="D118" s="312">
        <f t="shared" si="5"/>
        <v>0</v>
      </c>
      <c r="E118" s="328"/>
      <c r="G118" s="327" t="s">
        <v>201</v>
      </c>
      <c r="H118" s="311"/>
      <c r="I118" s="311"/>
      <c r="J118" s="312">
        <f t="shared" si="6"/>
        <v>0</v>
      </c>
      <c r="K118" s="312">
        <f t="shared" si="6"/>
        <v>0</v>
      </c>
      <c r="L118" s="328">
        <f t="shared" si="7"/>
        <v>0</v>
      </c>
    </row>
    <row r="119" spans="2:12" ht="12.75" customHeight="1" hidden="1">
      <c r="B119" s="327" t="s">
        <v>113</v>
      </c>
      <c r="C119" s="311"/>
      <c r="D119" s="312">
        <f t="shared" si="5"/>
        <v>0</v>
      </c>
      <c r="E119" s="328"/>
      <c r="G119" s="327" t="s">
        <v>113</v>
      </c>
      <c r="H119" s="311"/>
      <c r="I119" s="311"/>
      <c r="J119" s="312">
        <f t="shared" si="6"/>
        <v>0</v>
      </c>
      <c r="K119" s="312">
        <f t="shared" si="6"/>
        <v>0</v>
      </c>
      <c r="L119" s="328">
        <f t="shared" si="7"/>
        <v>0</v>
      </c>
    </row>
    <row r="120" spans="2:12" ht="12.75" customHeight="1" hidden="1">
      <c r="B120" s="327" t="s">
        <v>111</v>
      </c>
      <c r="D120" s="312">
        <f t="shared" si="5"/>
        <v>0</v>
      </c>
      <c r="E120" s="328"/>
      <c r="G120" s="327" t="s">
        <v>111</v>
      </c>
      <c r="H120" s="311"/>
      <c r="I120" s="316"/>
      <c r="J120" s="312">
        <f t="shared" si="6"/>
        <v>0</v>
      </c>
      <c r="K120" s="312">
        <f t="shared" si="6"/>
        <v>0</v>
      </c>
      <c r="L120" s="328">
        <f t="shared" si="7"/>
        <v>0</v>
      </c>
    </row>
    <row r="121" spans="2:12" ht="12.75" customHeight="1">
      <c r="B121" s="327" t="str">
        <f>+B110</f>
        <v>1/12 Prima de Servicios Cancelada en Junio 2012</v>
      </c>
      <c r="C121" s="312">
        <f>+C110</f>
        <v>0</v>
      </c>
      <c r="D121" s="312">
        <f t="shared" si="5"/>
        <v>0</v>
      </c>
      <c r="E121" s="328"/>
      <c r="G121" s="327" t="str">
        <f aca="true" t="shared" si="8" ref="G121:I122">+G110</f>
        <v>1/12 Prima de Servicios Cancelada en Junio 2011 - 2012</v>
      </c>
      <c r="H121" s="373">
        <f t="shared" si="8"/>
        <v>0</v>
      </c>
      <c r="I121" s="313">
        <f t="shared" si="8"/>
        <v>0</v>
      </c>
      <c r="J121" s="312">
        <f t="shared" si="6"/>
        <v>0</v>
      </c>
      <c r="K121" s="312">
        <f>ROUND((I121/12),0)</f>
        <v>0</v>
      </c>
      <c r="L121" s="328">
        <f t="shared" si="7"/>
        <v>0</v>
      </c>
    </row>
    <row r="122" spans="2:12" ht="12.75" customHeight="1">
      <c r="B122" s="327" t="str">
        <f>+B111</f>
        <v>1/12 Bonificación Servicios Prestados Cancelada en Octubre 2012</v>
      </c>
      <c r="C122" s="312">
        <f>+C111</f>
        <v>0</v>
      </c>
      <c r="D122" s="312">
        <f t="shared" si="5"/>
        <v>0</v>
      </c>
      <c r="E122" s="328"/>
      <c r="G122" s="327" t="str">
        <f t="shared" si="8"/>
        <v>1/12 Bonificación Servicios Prestados Cancelada en Septiembre 2011 </v>
      </c>
      <c r="H122" s="373">
        <f t="shared" si="8"/>
        <v>0</v>
      </c>
      <c r="I122" s="313">
        <f t="shared" si="8"/>
        <v>0</v>
      </c>
      <c r="J122" s="312">
        <f t="shared" si="6"/>
        <v>0</v>
      </c>
      <c r="K122" s="312">
        <f>ROUND((I122/12),0)</f>
        <v>0</v>
      </c>
      <c r="L122" s="328">
        <f t="shared" si="7"/>
        <v>0</v>
      </c>
    </row>
    <row r="123" spans="2:12" ht="15.75" customHeight="1" thickBot="1">
      <c r="B123" s="329" t="s">
        <v>219</v>
      </c>
      <c r="C123" s="311"/>
      <c r="D123" s="318">
        <f>ROUND((D116+D117+D118+D119+D120+D121+D122)/2*360/360,0)</f>
        <v>0</v>
      </c>
      <c r="E123" s="336"/>
      <c r="G123" s="329" t="s">
        <v>67</v>
      </c>
      <c r="H123" s="311"/>
      <c r="I123" s="314">
        <v>15</v>
      </c>
      <c r="J123" s="315">
        <f>ROUND((J116+J117+J118+J119+J120+J121+J122)/2*360/360,0)</f>
        <v>0</v>
      </c>
      <c r="K123" s="315">
        <f>ROUND((K116+K117+K118+K119+K120+K121+K122)/2*360/360,0)</f>
        <v>0</v>
      </c>
      <c r="L123" s="357">
        <f>((L116+L117+L118+L119+L120+L121+L122)/30*15)</f>
        <v>0</v>
      </c>
    </row>
    <row r="124" spans="2:12" ht="12.75" customHeight="1">
      <c r="B124" s="327"/>
      <c r="C124" s="311"/>
      <c r="D124" s="312"/>
      <c r="E124" s="328"/>
      <c r="G124" s="327"/>
      <c r="H124" s="311"/>
      <c r="I124" s="311"/>
      <c r="J124" s="312"/>
      <c r="K124" s="312"/>
      <c r="L124" s="328"/>
    </row>
    <row r="125" spans="2:12" ht="15" customHeight="1">
      <c r="B125" s="498" t="s">
        <v>36</v>
      </c>
      <c r="C125" s="500"/>
      <c r="D125" s="312"/>
      <c r="E125" s="328"/>
      <c r="G125" s="498" t="s">
        <v>36</v>
      </c>
      <c r="H125" s="500"/>
      <c r="I125" s="312"/>
      <c r="J125" s="312"/>
      <c r="K125" s="312"/>
      <c r="L125" s="328"/>
    </row>
    <row r="126" spans="2:12" ht="12.75" customHeight="1">
      <c r="B126" s="327" t="s">
        <v>200</v>
      </c>
      <c r="C126" s="311"/>
      <c r="D126" s="312">
        <f>+D105</f>
        <v>0</v>
      </c>
      <c r="E126" s="328"/>
      <c r="G126" s="327" t="s">
        <v>200</v>
      </c>
      <c r="H126" s="311"/>
      <c r="I126" s="183"/>
      <c r="J126" s="312">
        <f>+J105</f>
        <v>0</v>
      </c>
      <c r="K126" s="312">
        <f>+K105</f>
        <v>0</v>
      </c>
      <c r="L126" s="328">
        <f>+K126-J126</f>
        <v>0</v>
      </c>
    </row>
    <row r="127" spans="2:12" ht="15.75" customHeight="1" thickBot="1">
      <c r="B127" s="329" t="s">
        <v>128</v>
      </c>
      <c r="C127" s="311"/>
      <c r="D127" s="318">
        <f>ROUND(D126/30*2,0)</f>
        <v>0</v>
      </c>
      <c r="E127" s="336"/>
      <c r="G127" s="329" t="s">
        <v>128</v>
      </c>
      <c r="H127" s="311"/>
      <c r="I127" s="183"/>
      <c r="J127" s="318">
        <f>ROUND(J126/30*2,0)</f>
        <v>0</v>
      </c>
      <c r="K127" s="318">
        <f>ROUND(K126/30*2,0)</f>
        <v>0</v>
      </c>
      <c r="L127" s="355">
        <f>ROUND(L126/30*2,0)</f>
        <v>0</v>
      </c>
    </row>
    <row r="128" spans="2:12" ht="12.75" customHeight="1">
      <c r="B128" s="327"/>
      <c r="C128" s="311"/>
      <c r="D128" s="311"/>
      <c r="E128" s="330"/>
      <c r="G128" s="327"/>
      <c r="H128" s="311"/>
      <c r="I128" s="183"/>
      <c r="J128" s="311"/>
      <c r="K128" s="311"/>
      <c r="L128" s="328"/>
    </row>
    <row r="129" spans="2:12" ht="15.75" customHeight="1">
      <c r="B129" s="331" t="s">
        <v>37</v>
      </c>
      <c r="C129" s="316"/>
      <c r="D129" s="317">
        <f>D112+D123+D127</f>
        <v>0</v>
      </c>
      <c r="E129" s="337"/>
      <c r="G129" s="331" t="s">
        <v>214</v>
      </c>
      <c r="H129" s="316"/>
      <c r="I129" s="316"/>
      <c r="J129" s="532">
        <f>+L112+L123+L127</f>
        <v>0</v>
      </c>
      <c r="K129" s="532"/>
      <c r="L129" s="533"/>
    </row>
    <row r="130" spans="2:12" ht="13.5" customHeight="1" thickBot="1">
      <c r="B130" s="332"/>
      <c r="C130" s="333"/>
      <c r="D130" s="333"/>
      <c r="E130" s="334"/>
      <c r="G130" s="332"/>
      <c r="H130" s="333"/>
      <c r="I130" s="333"/>
      <c r="J130" s="333"/>
      <c r="K130" s="333"/>
      <c r="L130" s="334"/>
    </row>
    <row r="131" spans="2:7" ht="12.75" customHeight="1">
      <c r="B131" s="185" t="s">
        <v>127</v>
      </c>
      <c r="G131" s="185" t="s">
        <v>127</v>
      </c>
    </row>
    <row r="132" spans="2:7" ht="12.75" customHeight="1">
      <c r="B132" s="185" t="s">
        <v>252</v>
      </c>
      <c r="G132" s="185" t="s">
        <v>252</v>
      </c>
    </row>
    <row r="133" spans="2:7" ht="12.75" customHeight="1">
      <c r="B133" s="185" t="s">
        <v>256</v>
      </c>
      <c r="G133" s="185" t="s">
        <v>251</v>
      </c>
    </row>
    <row r="134" ht="13.5" customHeight="1" thickBot="1">
      <c r="B134" s="185"/>
    </row>
    <row r="135" spans="2:5" ht="12.75" customHeight="1">
      <c r="B135" s="501" t="s">
        <v>279</v>
      </c>
      <c r="C135" s="502"/>
      <c r="D135" s="502"/>
      <c r="E135" s="503"/>
    </row>
    <row r="136" spans="2:5" ht="12.75" customHeight="1">
      <c r="B136" s="504"/>
      <c r="C136" s="505"/>
      <c r="D136" s="505"/>
      <c r="E136" s="506"/>
    </row>
    <row r="137" spans="2:10" ht="12.75" customHeight="1">
      <c r="B137" s="504"/>
      <c r="C137" s="505"/>
      <c r="D137" s="505"/>
      <c r="E137" s="506"/>
      <c r="J137" s="211"/>
    </row>
    <row r="138" spans="2:5" ht="12.75" customHeight="1">
      <c r="B138" s="504"/>
      <c r="C138" s="505"/>
      <c r="D138" s="505"/>
      <c r="E138" s="506"/>
    </row>
    <row r="139" spans="2:5" ht="12.75" customHeight="1">
      <c r="B139" s="504"/>
      <c r="C139" s="505"/>
      <c r="D139" s="505"/>
      <c r="E139" s="506"/>
    </row>
    <row r="140" spans="2:5" ht="12.75" customHeight="1">
      <c r="B140" s="504"/>
      <c r="C140" s="505"/>
      <c r="D140" s="505"/>
      <c r="E140" s="506"/>
    </row>
    <row r="141" spans="2:5" ht="15.75" customHeight="1">
      <c r="B141" s="526" t="s">
        <v>229</v>
      </c>
      <c r="C141" s="527"/>
      <c r="D141" s="527"/>
      <c r="E141" s="528"/>
    </row>
    <row r="142" spans="2:5" ht="15.75" customHeight="1">
      <c r="B142" s="526" t="s">
        <v>280</v>
      </c>
      <c r="C142" s="527"/>
      <c r="D142" s="527"/>
      <c r="E142" s="528"/>
    </row>
    <row r="143" spans="2:5" ht="12.75" customHeight="1">
      <c r="B143" s="516" t="s">
        <v>281</v>
      </c>
      <c r="C143" s="517"/>
      <c r="D143" s="517"/>
      <c r="E143" s="518"/>
    </row>
    <row r="144" spans="2:5" ht="12.75" customHeight="1">
      <c r="B144" s="516" t="s">
        <v>282</v>
      </c>
      <c r="C144" s="517"/>
      <c r="D144" s="517"/>
      <c r="E144" s="518"/>
    </row>
    <row r="145" spans="2:5" ht="12.75" customHeight="1">
      <c r="B145" s="519" t="s">
        <v>294</v>
      </c>
      <c r="C145" s="520"/>
      <c r="D145" s="520"/>
      <c r="E145" s="521"/>
    </row>
    <row r="146" spans="2:5" ht="12.75" customHeight="1">
      <c r="B146" s="522" t="s">
        <v>237</v>
      </c>
      <c r="C146" s="523"/>
      <c r="D146" s="524">
        <v>21</v>
      </c>
      <c r="E146" s="525"/>
    </row>
    <row r="147" spans="2:5" ht="12.75" customHeight="1">
      <c r="B147" s="529"/>
      <c r="C147" s="530"/>
      <c r="D147" s="530"/>
      <c r="E147" s="531"/>
    </row>
    <row r="148" spans="2:5" ht="15" customHeight="1">
      <c r="B148" s="498" t="s">
        <v>199</v>
      </c>
      <c r="C148" s="499"/>
      <c r="D148" s="311"/>
      <c r="E148" s="330"/>
    </row>
    <row r="149" spans="2:7" ht="12.75" customHeight="1">
      <c r="B149" s="327" t="s">
        <v>200</v>
      </c>
      <c r="C149" s="311"/>
      <c r="D149" s="312">
        <v>0</v>
      </c>
      <c r="E149" s="328"/>
      <c r="G149" s="211"/>
    </row>
    <row r="150" spans="2:7" ht="12.75" customHeight="1" hidden="1">
      <c r="B150" s="327" t="s">
        <v>110</v>
      </c>
      <c r="C150" s="311"/>
      <c r="D150" s="312">
        <v>0</v>
      </c>
      <c r="E150" s="328"/>
      <c r="G150" s="211"/>
    </row>
    <row r="151" spans="2:7" ht="12.75" customHeight="1" hidden="1">
      <c r="B151" s="327" t="s">
        <v>201</v>
      </c>
      <c r="C151" s="311"/>
      <c r="D151" s="312">
        <v>0</v>
      </c>
      <c r="E151" s="328"/>
      <c r="G151" s="211"/>
    </row>
    <row r="152" spans="2:7" ht="12.75" customHeight="1" hidden="1">
      <c r="B152" s="327" t="s">
        <v>113</v>
      </c>
      <c r="C152" s="311"/>
      <c r="D152" s="312">
        <v>0</v>
      </c>
      <c r="E152" s="328"/>
      <c r="G152" s="211"/>
    </row>
    <row r="153" spans="2:5" ht="12.75" customHeight="1" hidden="1">
      <c r="B153" s="327" t="s">
        <v>111</v>
      </c>
      <c r="C153" s="311"/>
      <c r="D153" s="312">
        <v>0</v>
      </c>
      <c r="E153" s="328"/>
    </row>
    <row r="154" spans="2:7" ht="12.75" customHeight="1">
      <c r="B154" s="327" t="s">
        <v>241</v>
      </c>
      <c r="C154" s="312">
        <v>0</v>
      </c>
      <c r="D154" s="312">
        <f>ROUND((C154/12),0)</f>
        <v>0</v>
      </c>
      <c r="E154" s="328"/>
      <c r="G154" s="211"/>
    </row>
    <row r="155" spans="2:7" ht="12.75" customHeight="1">
      <c r="B155" s="327" t="s">
        <v>283</v>
      </c>
      <c r="C155" s="312">
        <v>0</v>
      </c>
      <c r="D155" s="312">
        <f>ROUND((C155/12),0)</f>
        <v>0</v>
      </c>
      <c r="E155" s="328"/>
      <c r="G155" s="211"/>
    </row>
    <row r="156" spans="2:6" ht="15.75" customHeight="1" thickBot="1">
      <c r="B156" s="329" t="s">
        <v>253</v>
      </c>
      <c r="C156" s="311"/>
      <c r="D156" s="318">
        <f>ROUND(((D149+D150+D151+D152+D153+D154+D155)/30*D146)/360*360,0)</f>
        <v>0</v>
      </c>
      <c r="E156" s="335"/>
      <c r="F156" s="315">
        <f>ROUND(((D149+D150+D151+D152)/30*D146)/360*360,0)</f>
        <v>0</v>
      </c>
    </row>
    <row r="157" spans="2:5" ht="12.75" customHeight="1">
      <c r="B157" s="327"/>
      <c r="C157" s="311"/>
      <c r="D157" s="311"/>
      <c r="E157" s="330"/>
    </row>
    <row r="158" spans="2:5" ht="12.75" customHeight="1">
      <c r="B158" s="327"/>
      <c r="C158" s="311"/>
      <c r="D158" s="311"/>
      <c r="E158" s="330"/>
    </row>
    <row r="159" spans="2:5" ht="15" customHeight="1">
      <c r="B159" s="498" t="s">
        <v>5</v>
      </c>
      <c r="C159" s="500"/>
      <c r="D159" s="311"/>
      <c r="E159" s="330"/>
    </row>
    <row r="160" spans="2:5" ht="12.75" customHeight="1">
      <c r="B160" s="327" t="s">
        <v>200</v>
      </c>
      <c r="C160" s="311"/>
      <c r="D160" s="312">
        <f aca="true" t="shared" si="9" ref="D160:D166">+D149</f>
        <v>0</v>
      </c>
      <c r="E160" s="328"/>
    </row>
    <row r="161" spans="2:5" ht="12.75" customHeight="1" hidden="1">
      <c r="B161" s="327" t="s">
        <v>110</v>
      </c>
      <c r="C161" s="311"/>
      <c r="D161" s="312">
        <f t="shared" si="9"/>
        <v>0</v>
      </c>
      <c r="E161" s="328"/>
    </row>
    <row r="162" spans="2:5" ht="12.75" customHeight="1" hidden="1">
      <c r="B162" s="327" t="s">
        <v>201</v>
      </c>
      <c r="C162" s="311"/>
      <c r="D162" s="312">
        <f t="shared" si="9"/>
        <v>0</v>
      </c>
      <c r="E162" s="328"/>
    </row>
    <row r="163" spans="2:5" ht="12.75" customHeight="1" hidden="1">
      <c r="B163" s="327" t="s">
        <v>113</v>
      </c>
      <c r="C163" s="311"/>
      <c r="D163" s="312">
        <f t="shared" si="9"/>
        <v>0</v>
      </c>
      <c r="E163" s="328"/>
    </row>
    <row r="164" spans="2:5" ht="12.75" customHeight="1" hidden="1">
      <c r="B164" s="327" t="s">
        <v>111</v>
      </c>
      <c r="C164" s="311"/>
      <c r="D164" s="312">
        <f t="shared" si="9"/>
        <v>0</v>
      </c>
      <c r="E164" s="328"/>
    </row>
    <row r="165" spans="2:5" ht="12.75" customHeight="1">
      <c r="B165" s="327" t="str">
        <f>+B154</f>
        <v>1/12 Prima de Servicios Cancelada en Junio 2012</v>
      </c>
      <c r="C165" s="312">
        <f>+C154</f>
        <v>0</v>
      </c>
      <c r="D165" s="312">
        <f t="shared" si="9"/>
        <v>0</v>
      </c>
      <c r="E165" s="328"/>
    </row>
    <row r="166" spans="2:5" ht="12.75" customHeight="1">
      <c r="B166" s="327" t="str">
        <f>+B155</f>
        <v>1/12 Bonificación Servicios Prestados Cancelada en Septiembre 2012</v>
      </c>
      <c r="C166" s="312">
        <f>+C155</f>
        <v>0</v>
      </c>
      <c r="D166" s="312">
        <f t="shared" si="9"/>
        <v>0</v>
      </c>
      <c r="E166" s="328"/>
    </row>
    <row r="167" spans="2:5" ht="15.75" customHeight="1" thickBot="1">
      <c r="B167" s="329" t="s">
        <v>219</v>
      </c>
      <c r="C167" s="311"/>
      <c r="D167" s="318">
        <f>ROUND((D160+D161+D162+D163+D164+D165+D166)/2*360/360,0)</f>
        <v>0</v>
      </c>
      <c r="E167" s="336"/>
    </row>
    <row r="168" spans="2:5" ht="12.75" customHeight="1">
      <c r="B168" s="327"/>
      <c r="C168" s="311"/>
      <c r="D168" s="312"/>
      <c r="E168" s="328"/>
    </row>
    <row r="169" spans="2:5" ht="15" customHeight="1">
      <c r="B169" s="498" t="s">
        <v>36</v>
      </c>
      <c r="C169" s="500"/>
      <c r="D169" s="312"/>
      <c r="E169" s="328"/>
    </row>
    <row r="170" spans="2:5" ht="12.75" customHeight="1">
      <c r="B170" s="327" t="s">
        <v>200</v>
      </c>
      <c r="C170" s="311"/>
      <c r="D170" s="312">
        <f>+D149</f>
        <v>0</v>
      </c>
      <c r="E170" s="328"/>
    </row>
    <row r="171" spans="2:5" ht="15.75" customHeight="1" thickBot="1">
      <c r="B171" s="329" t="s">
        <v>128</v>
      </c>
      <c r="C171" s="311"/>
      <c r="D171" s="318">
        <f>ROUND(D170/30*2,0)</f>
        <v>0</v>
      </c>
      <c r="E171" s="336"/>
    </row>
    <row r="172" spans="2:5" ht="12.75" customHeight="1">
      <c r="B172" s="327"/>
      <c r="C172" s="311"/>
      <c r="D172" s="311"/>
      <c r="E172" s="330"/>
    </row>
    <row r="173" spans="2:5" ht="15.75" customHeight="1">
      <c r="B173" s="331" t="s">
        <v>37</v>
      </c>
      <c r="C173" s="316"/>
      <c r="D173" s="317">
        <f>D156+D167+D171</f>
        <v>0</v>
      </c>
      <c r="E173" s="337"/>
    </row>
    <row r="174" spans="2:5" ht="13.5" customHeight="1" thickBot="1">
      <c r="B174" s="332"/>
      <c r="C174" s="333"/>
      <c r="D174" s="333"/>
      <c r="E174" s="334"/>
    </row>
    <row r="175" ht="12.75" customHeight="1">
      <c r="B175" s="185" t="s">
        <v>127</v>
      </c>
    </row>
    <row r="176" ht="12.75" customHeight="1">
      <c r="B176" s="185" t="s">
        <v>252</v>
      </c>
    </row>
    <row r="177" ht="12.75" customHeight="1">
      <c r="B177" s="185" t="s">
        <v>256</v>
      </c>
    </row>
    <row r="178" ht="12.75" customHeight="1" thickBot="1">
      <c r="B178" s="185"/>
    </row>
    <row r="179" spans="2:5" ht="12.75" customHeight="1">
      <c r="B179" s="501" t="s">
        <v>279</v>
      </c>
      <c r="C179" s="502"/>
      <c r="D179" s="502"/>
      <c r="E179" s="503"/>
    </row>
    <row r="180" spans="2:5" ht="12.75" customHeight="1">
      <c r="B180" s="504"/>
      <c r="C180" s="505"/>
      <c r="D180" s="505"/>
      <c r="E180" s="506"/>
    </row>
    <row r="181" spans="2:5" ht="12.75" customHeight="1">
      <c r="B181" s="504"/>
      <c r="C181" s="505"/>
      <c r="D181" s="505"/>
      <c r="E181" s="506"/>
    </row>
    <row r="182" spans="2:5" ht="12.75" customHeight="1">
      <c r="B182" s="504"/>
      <c r="C182" s="505"/>
      <c r="D182" s="505"/>
      <c r="E182" s="506"/>
    </row>
    <row r="183" spans="2:5" ht="12.75" customHeight="1">
      <c r="B183" s="504"/>
      <c r="C183" s="505"/>
      <c r="D183" s="505"/>
      <c r="E183" s="506"/>
    </row>
    <row r="184" spans="2:5" ht="12.75" customHeight="1">
      <c r="B184" s="504"/>
      <c r="C184" s="505"/>
      <c r="D184" s="505"/>
      <c r="E184" s="506"/>
    </row>
    <row r="185" spans="2:5" ht="15.75" customHeight="1">
      <c r="B185" s="526" t="s">
        <v>229</v>
      </c>
      <c r="C185" s="527"/>
      <c r="D185" s="527"/>
      <c r="E185" s="528"/>
    </row>
    <row r="186" spans="2:5" ht="15.75" customHeight="1">
      <c r="B186" s="526" t="s">
        <v>284</v>
      </c>
      <c r="C186" s="527"/>
      <c r="D186" s="527"/>
      <c r="E186" s="528"/>
    </row>
    <row r="187" spans="2:5" ht="12.75" customHeight="1">
      <c r="B187" s="516" t="s">
        <v>296</v>
      </c>
      <c r="C187" s="517"/>
      <c r="D187" s="517"/>
      <c r="E187" s="518"/>
    </row>
    <row r="188" spans="2:5" ht="12.75" customHeight="1">
      <c r="B188" s="516" t="s">
        <v>295</v>
      </c>
      <c r="C188" s="517"/>
      <c r="D188" s="517"/>
      <c r="E188" s="518"/>
    </row>
    <row r="189" spans="2:5" ht="12.75" customHeight="1">
      <c r="B189" s="519" t="s">
        <v>287</v>
      </c>
      <c r="C189" s="520"/>
      <c r="D189" s="520"/>
      <c r="E189" s="521"/>
    </row>
    <row r="190" spans="2:5" ht="12.75" customHeight="1">
      <c r="B190" s="522" t="s">
        <v>285</v>
      </c>
      <c r="C190" s="523"/>
      <c r="D190" s="524">
        <v>22</v>
      </c>
      <c r="E190" s="525"/>
    </row>
    <row r="191" spans="2:5" ht="12.75" customHeight="1">
      <c r="B191" s="495"/>
      <c r="C191" s="496"/>
      <c r="D191" s="496"/>
      <c r="E191" s="497"/>
    </row>
    <row r="192" spans="2:5" ht="15" customHeight="1">
      <c r="B192" s="498" t="s">
        <v>199</v>
      </c>
      <c r="C192" s="499"/>
      <c r="D192" s="311"/>
      <c r="E192" s="330"/>
    </row>
    <row r="193" spans="2:5" ht="12.75" customHeight="1">
      <c r="B193" s="327" t="s">
        <v>200</v>
      </c>
      <c r="C193" s="311"/>
      <c r="D193" s="312">
        <v>0</v>
      </c>
      <c r="E193" s="328"/>
    </row>
    <row r="194" spans="2:5" ht="12.75" customHeight="1" hidden="1">
      <c r="B194" s="327" t="s">
        <v>110</v>
      </c>
      <c r="C194" s="311"/>
      <c r="D194" s="312">
        <v>0</v>
      </c>
      <c r="E194" s="328"/>
    </row>
    <row r="195" spans="2:5" ht="12.75" customHeight="1" hidden="1">
      <c r="B195" s="327" t="s">
        <v>201</v>
      </c>
      <c r="C195" s="311"/>
      <c r="D195" s="312">
        <v>0</v>
      </c>
      <c r="E195" s="328"/>
    </row>
    <row r="196" spans="2:5" ht="12.75" customHeight="1" hidden="1">
      <c r="B196" s="327" t="s">
        <v>113</v>
      </c>
      <c r="C196" s="311"/>
      <c r="D196" s="312">
        <v>0</v>
      </c>
      <c r="E196" s="328"/>
    </row>
    <row r="197" spans="2:5" ht="12.75" customHeight="1" hidden="1">
      <c r="B197" s="327" t="s">
        <v>111</v>
      </c>
      <c r="C197" s="311"/>
      <c r="D197" s="312">
        <v>0</v>
      </c>
      <c r="E197" s="328"/>
    </row>
    <row r="198" spans="2:5" ht="12.75" customHeight="1">
      <c r="B198" s="327" t="s">
        <v>241</v>
      </c>
      <c r="C198" s="312">
        <v>0</v>
      </c>
      <c r="D198" s="312">
        <f>C198/12</f>
        <v>0</v>
      </c>
      <c r="E198" s="328"/>
    </row>
    <row r="199" spans="2:5" ht="12.75" customHeight="1">
      <c r="B199" s="391" t="s">
        <v>292</v>
      </c>
      <c r="C199" s="312">
        <v>0</v>
      </c>
      <c r="D199" s="312">
        <f>C199/12</f>
        <v>0</v>
      </c>
      <c r="E199" s="328"/>
    </row>
    <row r="200" spans="2:6" ht="15.75" customHeight="1" thickBot="1">
      <c r="B200" s="329" t="s">
        <v>35</v>
      </c>
      <c r="C200" s="311"/>
      <c r="D200" s="318">
        <f>ROUND(((D193+D194+D195+D196+D197+D198+D199)/30*D190)/360*360,0)</f>
        <v>0</v>
      </c>
      <c r="E200" s="335"/>
      <c r="F200" s="315">
        <f>ROUND(((D193+D194+D195+D196)/30*D190)/360*360,0)</f>
        <v>0</v>
      </c>
    </row>
    <row r="201" spans="2:5" ht="12.75" customHeight="1">
      <c r="B201" s="327"/>
      <c r="C201" s="311"/>
      <c r="D201" s="311"/>
      <c r="E201" s="330"/>
    </row>
    <row r="202" spans="2:5" ht="12.75" customHeight="1">
      <c r="B202" s="327"/>
      <c r="C202" s="311"/>
      <c r="D202" s="311"/>
      <c r="E202" s="330"/>
    </row>
    <row r="203" spans="2:5" ht="15" customHeight="1">
      <c r="B203" s="498" t="s">
        <v>5</v>
      </c>
      <c r="C203" s="500"/>
      <c r="D203" s="311"/>
      <c r="E203" s="330"/>
    </row>
    <row r="204" spans="2:5" ht="12.75" customHeight="1">
      <c r="B204" s="327" t="s">
        <v>200</v>
      </c>
      <c r="C204" s="311"/>
      <c r="D204" s="312">
        <f aca="true" t="shared" si="10" ref="D204:D210">+D193</f>
        <v>0</v>
      </c>
      <c r="E204" s="328"/>
    </row>
    <row r="205" spans="2:5" ht="12.75" customHeight="1" hidden="1">
      <c r="B205" s="327" t="s">
        <v>110</v>
      </c>
      <c r="C205" s="311"/>
      <c r="D205" s="312">
        <f t="shared" si="10"/>
        <v>0</v>
      </c>
      <c r="E205" s="328"/>
    </row>
    <row r="206" spans="2:5" ht="12.75" customHeight="1" hidden="1">
      <c r="B206" s="327" t="s">
        <v>201</v>
      </c>
      <c r="C206" s="311"/>
      <c r="D206" s="312">
        <f t="shared" si="10"/>
        <v>0</v>
      </c>
      <c r="E206" s="328"/>
    </row>
    <row r="207" spans="2:5" ht="12.75" customHeight="1" hidden="1">
      <c r="B207" s="327" t="s">
        <v>113</v>
      </c>
      <c r="C207" s="311"/>
      <c r="D207" s="312">
        <f t="shared" si="10"/>
        <v>0</v>
      </c>
      <c r="E207" s="328"/>
    </row>
    <row r="208" spans="2:5" ht="12.75" customHeight="1" hidden="1">
      <c r="B208" s="327" t="s">
        <v>111</v>
      </c>
      <c r="C208" s="311"/>
      <c r="D208" s="312">
        <f t="shared" si="10"/>
        <v>0</v>
      </c>
      <c r="E208" s="328"/>
    </row>
    <row r="209" spans="2:5" ht="12.75" customHeight="1">
      <c r="B209" s="327" t="str">
        <f>+B198</f>
        <v>1/12 Prima de Servicios Cancelada en Junio 2012</v>
      </c>
      <c r="C209" s="312">
        <f>+C198</f>
        <v>0</v>
      </c>
      <c r="D209" s="312">
        <f t="shared" si="10"/>
        <v>0</v>
      </c>
      <c r="E209" s="328"/>
    </row>
    <row r="210" spans="2:5" ht="12.75" customHeight="1">
      <c r="B210" s="327" t="str">
        <f>+B199</f>
        <v>1/12 Bonificación Servicios Prestados Cancelada en Octubre 2012</v>
      </c>
      <c r="C210" s="312">
        <f>+C199</f>
        <v>0</v>
      </c>
      <c r="D210" s="312">
        <f t="shared" si="10"/>
        <v>0</v>
      </c>
      <c r="E210" s="328"/>
    </row>
    <row r="211" spans="2:6" ht="15.75" customHeight="1" thickBot="1">
      <c r="B211" s="329" t="s">
        <v>219</v>
      </c>
      <c r="C211" s="311"/>
      <c r="D211" s="318">
        <f>ROUND((D204+D205+D206+D207+D208+D209+D210)/2*360/360,0)</f>
        <v>0</v>
      </c>
      <c r="E211" s="336"/>
      <c r="F211" s="180"/>
    </row>
    <row r="212" spans="2:5" ht="12.75" customHeight="1">
      <c r="B212" s="327"/>
      <c r="C212" s="311"/>
      <c r="D212" s="312"/>
      <c r="E212" s="328"/>
    </row>
    <row r="213" spans="2:5" ht="15" customHeight="1">
      <c r="B213" s="498" t="s">
        <v>36</v>
      </c>
      <c r="C213" s="500"/>
      <c r="D213" s="312"/>
      <c r="E213" s="328"/>
    </row>
    <row r="214" spans="2:5" ht="12.75" customHeight="1">
      <c r="B214" s="327" t="s">
        <v>200</v>
      </c>
      <c r="C214" s="311"/>
      <c r="D214" s="312">
        <f>+D193</f>
        <v>0</v>
      </c>
      <c r="E214" s="328"/>
    </row>
    <row r="215" spans="2:5" ht="15.75" customHeight="1" thickBot="1">
      <c r="B215" s="329" t="s">
        <v>128</v>
      </c>
      <c r="C215" s="311"/>
      <c r="D215" s="318">
        <f>ROUND(D214/30*2,0)</f>
        <v>0</v>
      </c>
      <c r="E215" s="336"/>
    </row>
    <row r="216" spans="2:5" ht="12.75" customHeight="1">
      <c r="B216" s="327"/>
      <c r="C216" s="311"/>
      <c r="D216" s="311"/>
      <c r="E216" s="330"/>
    </row>
    <row r="217" spans="2:5" ht="15.75" customHeight="1">
      <c r="B217" s="331" t="s">
        <v>37</v>
      </c>
      <c r="C217" s="316"/>
      <c r="D217" s="317">
        <f>D200+D211+D215</f>
        <v>0</v>
      </c>
      <c r="E217" s="337"/>
    </row>
    <row r="218" spans="2:5" ht="13.5" customHeight="1" thickBot="1">
      <c r="B218" s="332"/>
      <c r="C218" s="333"/>
      <c r="D218" s="333"/>
      <c r="E218" s="334"/>
    </row>
    <row r="219" ht="12.75" customHeight="1">
      <c r="B219" s="185" t="s">
        <v>127</v>
      </c>
    </row>
    <row r="220" ht="12.75" customHeight="1">
      <c r="B220" s="185" t="s">
        <v>204</v>
      </c>
    </row>
    <row r="221" ht="12.75" customHeight="1">
      <c r="B221" s="185" t="s">
        <v>256</v>
      </c>
    </row>
    <row r="222" ht="13.5" customHeight="1" hidden="1" thickBot="1">
      <c r="B222" s="185"/>
    </row>
    <row r="223" spans="2:5" ht="12.75" customHeight="1" hidden="1">
      <c r="B223" s="501" t="s">
        <v>279</v>
      </c>
      <c r="C223" s="502"/>
      <c r="D223" s="502"/>
      <c r="E223" s="503"/>
    </row>
    <row r="224" spans="2:5" ht="12.75" customHeight="1" hidden="1">
      <c r="B224" s="504"/>
      <c r="C224" s="505"/>
      <c r="D224" s="505"/>
      <c r="E224" s="506"/>
    </row>
    <row r="225" spans="2:5" ht="12.75" customHeight="1" hidden="1">
      <c r="B225" s="504"/>
      <c r="C225" s="505"/>
      <c r="D225" s="505"/>
      <c r="E225" s="506"/>
    </row>
    <row r="226" spans="2:5" ht="12.75" customHeight="1" hidden="1">
      <c r="B226" s="504"/>
      <c r="C226" s="505"/>
      <c r="D226" s="505"/>
      <c r="E226" s="506"/>
    </row>
    <row r="227" spans="2:5" ht="12.75" customHeight="1" hidden="1">
      <c r="B227" s="504"/>
      <c r="C227" s="505"/>
      <c r="D227" s="505"/>
      <c r="E227" s="506"/>
    </row>
    <row r="228" spans="2:5" ht="12.75" customHeight="1" hidden="1">
      <c r="B228" s="504"/>
      <c r="C228" s="505"/>
      <c r="D228" s="505"/>
      <c r="E228" s="506"/>
    </row>
    <row r="229" spans="2:5" ht="15.75" customHeight="1" hidden="1">
      <c r="B229" s="507" t="s">
        <v>232</v>
      </c>
      <c r="C229" s="508"/>
      <c r="D229" s="508"/>
      <c r="E229" s="509"/>
    </row>
    <row r="230" spans="2:5" ht="15.75" customHeight="1" hidden="1">
      <c r="B230" s="507" t="s">
        <v>231</v>
      </c>
      <c r="C230" s="508"/>
      <c r="D230" s="508"/>
      <c r="E230" s="509"/>
    </row>
    <row r="231" spans="2:5" ht="12.75" customHeight="1" hidden="1">
      <c r="B231" s="516" t="s">
        <v>221</v>
      </c>
      <c r="C231" s="517"/>
      <c r="D231" s="517"/>
      <c r="E231" s="518"/>
    </row>
    <row r="232" spans="2:5" ht="12.75" customHeight="1" hidden="1">
      <c r="B232" s="516" t="s">
        <v>222</v>
      </c>
      <c r="C232" s="517"/>
      <c r="D232" s="517"/>
      <c r="E232" s="518"/>
    </row>
    <row r="233" spans="2:5" ht="12.75" customHeight="1" hidden="1">
      <c r="B233" s="519" t="s">
        <v>223</v>
      </c>
      <c r="C233" s="520"/>
      <c r="D233" s="520"/>
      <c r="E233" s="521"/>
    </row>
    <row r="234" spans="2:5" ht="12.75" customHeight="1" hidden="1">
      <c r="B234" s="522" t="s">
        <v>202</v>
      </c>
      <c r="C234" s="523"/>
      <c r="D234" s="524">
        <v>23</v>
      </c>
      <c r="E234" s="525"/>
    </row>
    <row r="235" spans="2:5" ht="12.75" customHeight="1" hidden="1">
      <c r="B235" s="495"/>
      <c r="C235" s="496"/>
      <c r="D235" s="496"/>
      <c r="E235" s="497"/>
    </row>
    <row r="236" spans="2:5" ht="15" customHeight="1" hidden="1">
      <c r="B236" s="498" t="s">
        <v>199</v>
      </c>
      <c r="C236" s="499"/>
      <c r="D236" s="311"/>
      <c r="E236" s="330"/>
    </row>
    <row r="237" spans="2:5" ht="12.75" customHeight="1" hidden="1">
      <c r="B237" s="327" t="s">
        <v>200</v>
      </c>
      <c r="C237" s="311"/>
      <c r="D237" s="312">
        <v>0</v>
      </c>
      <c r="E237" s="328"/>
    </row>
    <row r="238" spans="2:5" ht="12.75" customHeight="1" hidden="1">
      <c r="B238" s="327" t="s">
        <v>110</v>
      </c>
      <c r="C238" s="311"/>
      <c r="D238" s="312">
        <v>0</v>
      </c>
      <c r="E238" s="328"/>
    </row>
    <row r="239" spans="2:5" ht="12.75" customHeight="1" hidden="1">
      <c r="B239" s="327" t="s">
        <v>201</v>
      </c>
      <c r="C239" s="311"/>
      <c r="D239" s="312">
        <f>D237*0%</f>
        <v>0</v>
      </c>
      <c r="E239" s="328"/>
    </row>
    <row r="240" spans="2:5" ht="12.75" customHeight="1" hidden="1">
      <c r="B240" s="327" t="s">
        <v>113</v>
      </c>
      <c r="C240" s="311"/>
      <c r="D240" s="312">
        <v>0</v>
      </c>
      <c r="E240" s="328"/>
    </row>
    <row r="241" spans="2:5" ht="12.75" customHeight="1" hidden="1">
      <c r="B241" s="327" t="s">
        <v>111</v>
      </c>
      <c r="C241" s="311"/>
      <c r="D241" s="312">
        <v>0</v>
      </c>
      <c r="E241" s="328"/>
    </row>
    <row r="242" spans="2:5" ht="12.75" customHeight="1" hidden="1">
      <c r="B242" s="327" t="s">
        <v>126</v>
      </c>
      <c r="C242" s="312">
        <v>0</v>
      </c>
      <c r="D242" s="312">
        <f>C242/12</f>
        <v>0</v>
      </c>
      <c r="E242" s="328"/>
    </row>
    <row r="243" spans="2:5" ht="12.75" customHeight="1" hidden="1">
      <c r="B243" s="327" t="s">
        <v>224</v>
      </c>
      <c r="C243" s="312">
        <v>0</v>
      </c>
      <c r="D243" s="312">
        <f>C243/12</f>
        <v>0</v>
      </c>
      <c r="E243" s="328"/>
    </row>
    <row r="244" spans="2:6" ht="15.75" customHeight="1" hidden="1" thickBot="1">
      <c r="B244" s="329" t="s">
        <v>218</v>
      </c>
      <c r="C244" s="311"/>
      <c r="D244" s="318">
        <f>ROUND(((D237+D238+D239+D240+D241+D242+D243)/30*D234)/360*360,0)</f>
        <v>0</v>
      </c>
      <c r="E244" s="335"/>
      <c r="F244" s="315">
        <f>ROUND(((D237+D238+D239+D240)/30*D234)/360*360,0)</f>
        <v>0</v>
      </c>
    </row>
    <row r="245" spans="2:5" ht="12.75" customHeight="1" hidden="1">
      <c r="B245" s="327"/>
      <c r="C245" s="311"/>
      <c r="D245" s="311"/>
      <c r="E245" s="330"/>
    </row>
    <row r="246" spans="2:5" ht="12.75" customHeight="1" hidden="1">
      <c r="B246" s="327"/>
      <c r="C246" s="311"/>
      <c r="D246" s="311"/>
      <c r="E246" s="330"/>
    </row>
    <row r="247" spans="2:5" ht="15" customHeight="1" hidden="1">
      <c r="B247" s="498" t="s">
        <v>5</v>
      </c>
      <c r="C247" s="500"/>
      <c r="D247" s="311"/>
      <c r="E247" s="330"/>
    </row>
    <row r="248" spans="2:5" ht="12.75" customHeight="1" hidden="1">
      <c r="B248" s="327" t="s">
        <v>200</v>
      </c>
      <c r="C248" s="311"/>
      <c r="D248" s="312">
        <f aca="true" t="shared" si="11" ref="D248:D254">+D237</f>
        <v>0</v>
      </c>
      <c r="E248" s="328"/>
    </row>
    <row r="249" spans="2:5" ht="12.75" customHeight="1" hidden="1">
      <c r="B249" s="327" t="s">
        <v>110</v>
      </c>
      <c r="C249" s="311"/>
      <c r="D249" s="312">
        <f t="shared" si="11"/>
        <v>0</v>
      </c>
      <c r="E249" s="328"/>
    </row>
    <row r="250" spans="2:5" ht="12.75" customHeight="1" hidden="1">
      <c r="B250" s="327" t="s">
        <v>201</v>
      </c>
      <c r="C250" s="311"/>
      <c r="D250" s="312">
        <f t="shared" si="11"/>
        <v>0</v>
      </c>
      <c r="E250" s="328"/>
    </row>
    <row r="251" spans="2:5" ht="12.75" customHeight="1" hidden="1">
      <c r="B251" s="327" t="s">
        <v>113</v>
      </c>
      <c r="C251" s="311"/>
      <c r="D251" s="312">
        <f t="shared" si="11"/>
        <v>0</v>
      </c>
      <c r="E251" s="328"/>
    </row>
    <row r="252" spans="2:5" ht="12.75" customHeight="1" hidden="1">
      <c r="B252" s="327" t="s">
        <v>111</v>
      </c>
      <c r="C252" s="311"/>
      <c r="D252" s="312">
        <f t="shared" si="11"/>
        <v>0</v>
      </c>
      <c r="E252" s="328"/>
    </row>
    <row r="253" spans="2:5" ht="12.75" customHeight="1" hidden="1">
      <c r="B253" s="327" t="str">
        <f>+B242</f>
        <v>1/12 Prima de Servicios Cancelada en Junio 2011</v>
      </c>
      <c r="C253" s="312">
        <f>+C242</f>
        <v>0</v>
      </c>
      <c r="D253" s="312">
        <f t="shared" si="11"/>
        <v>0</v>
      </c>
      <c r="E253" s="328"/>
    </row>
    <row r="254" spans="2:5" ht="12.75" customHeight="1" hidden="1">
      <c r="B254" s="327" t="str">
        <f>+B243</f>
        <v>1/12 Bonificación Servicios Prestados Cancelada en Abril 2012</v>
      </c>
      <c r="C254" s="312">
        <f>+C243</f>
        <v>0</v>
      </c>
      <c r="D254" s="312">
        <f t="shared" si="11"/>
        <v>0</v>
      </c>
      <c r="E254" s="328"/>
    </row>
    <row r="255" spans="2:5" ht="15.75" customHeight="1" hidden="1" thickBot="1">
      <c r="B255" s="329" t="s">
        <v>219</v>
      </c>
      <c r="C255" s="311"/>
      <c r="D255" s="318">
        <f>ROUND((D248+D249+D250+D251+D252+D253+D254)/2*360/360,0)</f>
        <v>0</v>
      </c>
      <c r="E255" s="336"/>
    </row>
    <row r="256" spans="2:5" ht="12.75" customHeight="1" hidden="1">
      <c r="B256" s="327"/>
      <c r="C256" s="311"/>
      <c r="D256" s="312"/>
      <c r="E256" s="328"/>
    </row>
    <row r="257" spans="2:5" ht="15" customHeight="1" hidden="1">
      <c r="B257" s="498" t="s">
        <v>36</v>
      </c>
      <c r="C257" s="500"/>
      <c r="D257" s="312"/>
      <c r="E257" s="328"/>
    </row>
    <row r="258" spans="2:5" ht="12.75" customHeight="1" hidden="1">
      <c r="B258" s="327" t="s">
        <v>200</v>
      </c>
      <c r="C258" s="311"/>
      <c r="D258" s="312">
        <f>+D237</f>
        <v>0</v>
      </c>
      <c r="E258" s="328"/>
    </row>
    <row r="259" spans="2:5" ht="15.75" customHeight="1" hidden="1" thickBot="1">
      <c r="B259" s="329" t="s">
        <v>128</v>
      </c>
      <c r="C259" s="311"/>
      <c r="D259" s="318">
        <f>ROUND(D258/30*2,0)</f>
        <v>0</v>
      </c>
      <c r="E259" s="336"/>
    </row>
    <row r="260" spans="2:5" ht="12.75" customHeight="1" hidden="1">
      <c r="B260" s="327"/>
      <c r="C260" s="311"/>
      <c r="D260" s="311"/>
      <c r="E260" s="330"/>
    </row>
    <row r="261" spans="2:5" ht="15.75" customHeight="1" hidden="1">
      <c r="B261" s="331" t="s">
        <v>37</v>
      </c>
      <c r="C261" s="316"/>
      <c r="D261" s="317">
        <f>D244+D255+D259</f>
        <v>0</v>
      </c>
      <c r="E261" s="337"/>
    </row>
    <row r="262" spans="2:5" ht="13.5" customHeight="1" hidden="1" thickBot="1">
      <c r="B262" s="332"/>
      <c r="C262" s="333"/>
      <c r="D262" s="333"/>
      <c r="E262" s="334"/>
    </row>
    <row r="263" ht="12.75" customHeight="1" hidden="1">
      <c r="B263" s="185" t="s">
        <v>127</v>
      </c>
    </row>
    <row r="264" ht="12.75" customHeight="1" hidden="1">
      <c r="B264" s="185" t="s">
        <v>204</v>
      </c>
    </row>
    <row r="265" ht="12.75" customHeight="1" hidden="1">
      <c r="B265" s="185" t="s">
        <v>124</v>
      </c>
    </row>
    <row r="266" ht="12.75" customHeight="1" hidden="1" thickBot="1">
      <c r="B266" s="185"/>
    </row>
    <row r="267" spans="2:5" ht="12.75" customHeight="1" hidden="1">
      <c r="B267" s="501" t="s">
        <v>279</v>
      </c>
      <c r="C267" s="502"/>
      <c r="D267" s="502"/>
      <c r="E267" s="503"/>
    </row>
    <row r="268" spans="2:5" ht="12.75" customHeight="1" hidden="1">
      <c r="B268" s="504"/>
      <c r="C268" s="505"/>
      <c r="D268" s="505"/>
      <c r="E268" s="506"/>
    </row>
    <row r="269" spans="2:5" ht="12.75" customHeight="1" hidden="1">
      <c r="B269" s="504"/>
      <c r="C269" s="505"/>
      <c r="D269" s="505"/>
      <c r="E269" s="506"/>
    </row>
    <row r="270" spans="2:5" ht="12.75" customHeight="1" hidden="1">
      <c r="B270" s="504"/>
      <c r="C270" s="505"/>
      <c r="D270" s="505"/>
      <c r="E270" s="506"/>
    </row>
    <row r="271" spans="2:5" ht="12.75" customHeight="1" hidden="1">
      <c r="B271" s="504"/>
      <c r="C271" s="505"/>
      <c r="D271" s="505"/>
      <c r="E271" s="506"/>
    </row>
    <row r="272" spans="2:5" ht="12.75" customHeight="1" hidden="1">
      <c r="B272" s="504"/>
      <c r="C272" s="505"/>
      <c r="D272" s="505"/>
      <c r="E272" s="506"/>
    </row>
    <row r="273" spans="2:5" ht="15.75" customHeight="1" hidden="1">
      <c r="B273" s="507" t="s">
        <v>229</v>
      </c>
      <c r="C273" s="508"/>
      <c r="D273" s="508"/>
      <c r="E273" s="509"/>
    </row>
    <row r="274" spans="2:5" ht="15.75" customHeight="1" hidden="1">
      <c r="B274" s="507" t="s">
        <v>230</v>
      </c>
      <c r="C274" s="508"/>
      <c r="D274" s="508"/>
      <c r="E274" s="509"/>
    </row>
    <row r="275" spans="2:5" ht="12.75" customHeight="1" hidden="1">
      <c r="B275" s="510" t="s">
        <v>221</v>
      </c>
      <c r="C275" s="511"/>
      <c r="D275" s="511"/>
      <c r="E275" s="512"/>
    </row>
    <row r="276" spans="2:5" ht="12.75" customHeight="1" hidden="1">
      <c r="B276" s="510" t="s">
        <v>222</v>
      </c>
      <c r="C276" s="511"/>
      <c r="D276" s="511"/>
      <c r="E276" s="512"/>
    </row>
    <row r="277" spans="2:5" ht="12.75" customHeight="1" hidden="1">
      <c r="B277" s="513" t="s">
        <v>223</v>
      </c>
      <c r="C277" s="514"/>
      <c r="D277" s="514"/>
      <c r="E277" s="515"/>
    </row>
    <row r="278" spans="2:5" ht="12.75" customHeight="1" hidden="1">
      <c r="B278" s="559" t="s">
        <v>202</v>
      </c>
      <c r="C278" s="492"/>
      <c r="D278" s="493">
        <v>23</v>
      </c>
      <c r="E278" s="494"/>
    </row>
    <row r="279" spans="2:5" ht="12.75" customHeight="1" hidden="1">
      <c r="B279" s="495"/>
      <c r="C279" s="496"/>
      <c r="D279" s="496"/>
      <c r="E279" s="497"/>
    </row>
    <row r="280" spans="2:5" ht="15" customHeight="1" hidden="1">
      <c r="B280" s="498" t="s">
        <v>199</v>
      </c>
      <c r="C280" s="499"/>
      <c r="D280" s="311"/>
      <c r="E280" s="330"/>
    </row>
    <row r="281" spans="2:5" ht="12.75" customHeight="1" hidden="1">
      <c r="B281" s="327" t="s">
        <v>200</v>
      </c>
      <c r="C281" s="311"/>
      <c r="D281" s="312">
        <v>0</v>
      </c>
      <c r="E281" s="328"/>
    </row>
    <row r="282" spans="2:5" ht="12.75" customHeight="1" hidden="1">
      <c r="B282" s="327" t="s">
        <v>110</v>
      </c>
      <c r="C282" s="311"/>
      <c r="D282" s="312">
        <v>0</v>
      </c>
      <c r="E282" s="328"/>
    </row>
    <row r="283" spans="2:5" ht="12.75" customHeight="1" hidden="1">
      <c r="B283" s="327" t="s">
        <v>201</v>
      </c>
      <c r="C283" s="311"/>
      <c r="D283" s="312">
        <v>0</v>
      </c>
      <c r="E283" s="328"/>
    </row>
    <row r="284" spans="2:5" ht="12.75" customHeight="1" hidden="1">
      <c r="B284" s="327" t="s">
        <v>113</v>
      </c>
      <c r="C284" s="311"/>
      <c r="D284" s="312">
        <v>0</v>
      </c>
      <c r="E284" s="328"/>
    </row>
    <row r="285" spans="2:5" ht="12.75" customHeight="1" hidden="1">
      <c r="B285" s="327" t="s">
        <v>111</v>
      </c>
      <c r="C285" s="311"/>
      <c r="D285" s="312">
        <v>0</v>
      </c>
      <c r="E285" s="328"/>
    </row>
    <row r="286" spans="2:5" ht="12.75" customHeight="1" hidden="1">
      <c r="B286" s="327" t="s">
        <v>126</v>
      </c>
      <c r="C286" s="312">
        <v>0</v>
      </c>
      <c r="D286" s="312">
        <f>C286/12</f>
        <v>0</v>
      </c>
      <c r="E286" s="328"/>
    </row>
    <row r="287" spans="2:5" ht="12.75" customHeight="1" hidden="1">
      <c r="B287" s="327" t="s">
        <v>224</v>
      </c>
      <c r="C287" s="312">
        <v>0</v>
      </c>
      <c r="D287" s="312">
        <f>C287/12</f>
        <v>0</v>
      </c>
      <c r="E287" s="328"/>
    </row>
    <row r="288" spans="2:5" ht="15.75" customHeight="1" hidden="1" thickBot="1">
      <c r="B288" s="329" t="s">
        <v>218</v>
      </c>
      <c r="C288" s="311"/>
      <c r="D288" s="318">
        <f>ROUND(((D281+D282+D283+D284+D285+D286+D287)/30*D278)/360*360,0)</f>
        <v>0</v>
      </c>
      <c r="E288" s="335"/>
    </row>
    <row r="289" spans="2:5" ht="12.75" customHeight="1" hidden="1">
      <c r="B289" s="327"/>
      <c r="C289" s="311"/>
      <c r="D289" s="311"/>
      <c r="E289" s="330"/>
    </row>
    <row r="290" spans="2:5" ht="12.75" customHeight="1" hidden="1">
      <c r="B290" s="327"/>
      <c r="C290" s="311"/>
      <c r="D290" s="311"/>
      <c r="E290" s="330"/>
    </row>
    <row r="291" spans="2:5" ht="15" customHeight="1" hidden="1">
      <c r="B291" s="498" t="s">
        <v>5</v>
      </c>
      <c r="C291" s="500"/>
      <c r="D291" s="311"/>
      <c r="E291" s="330"/>
    </row>
    <row r="292" spans="2:5" ht="12.75" customHeight="1" hidden="1">
      <c r="B292" s="327" t="s">
        <v>200</v>
      </c>
      <c r="C292" s="311"/>
      <c r="D292" s="312">
        <f aca="true" t="shared" si="12" ref="D292:D298">+D281</f>
        <v>0</v>
      </c>
      <c r="E292" s="328"/>
    </row>
    <row r="293" spans="2:5" ht="12.75" customHeight="1" hidden="1">
      <c r="B293" s="327" t="s">
        <v>110</v>
      </c>
      <c r="C293" s="311"/>
      <c r="D293" s="312">
        <f t="shared" si="12"/>
        <v>0</v>
      </c>
      <c r="E293" s="328"/>
    </row>
    <row r="294" spans="2:5" ht="12.75" customHeight="1" hidden="1">
      <c r="B294" s="327" t="s">
        <v>201</v>
      </c>
      <c r="C294" s="311"/>
      <c r="D294" s="312">
        <f t="shared" si="12"/>
        <v>0</v>
      </c>
      <c r="E294" s="328"/>
    </row>
    <row r="295" spans="2:5" ht="12.75" customHeight="1" hidden="1">
      <c r="B295" s="327" t="s">
        <v>113</v>
      </c>
      <c r="C295" s="311"/>
      <c r="D295" s="312">
        <f t="shared" si="12"/>
        <v>0</v>
      </c>
      <c r="E295" s="328"/>
    </row>
    <row r="296" spans="2:5" ht="12.75" customHeight="1" hidden="1">
      <c r="B296" s="327" t="s">
        <v>111</v>
      </c>
      <c r="C296" s="311"/>
      <c r="D296" s="312">
        <f t="shared" si="12"/>
        <v>0</v>
      </c>
      <c r="E296" s="328"/>
    </row>
    <row r="297" spans="2:5" ht="12.75" customHeight="1" hidden="1">
      <c r="B297" s="327" t="str">
        <f>+B286</f>
        <v>1/12 Prima de Servicios Cancelada en Junio 2011</v>
      </c>
      <c r="C297" s="312">
        <f>+C286</f>
        <v>0</v>
      </c>
      <c r="D297" s="312">
        <f t="shared" si="12"/>
        <v>0</v>
      </c>
      <c r="E297" s="328"/>
    </row>
    <row r="298" spans="2:5" ht="12.75" customHeight="1" hidden="1">
      <c r="B298" s="327" t="str">
        <f>+B287</f>
        <v>1/12 Bonificación Servicios Prestados Cancelada en Abril 2012</v>
      </c>
      <c r="C298" s="312">
        <f>+C287</f>
        <v>0</v>
      </c>
      <c r="D298" s="312">
        <f t="shared" si="12"/>
        <v>0</v>
      </c>
      <c r="E298" s="328"/>
    </row>
    <row r="299" spans="2:5" ht="15.75" customHeight="1" hidden="1" thickBot="1">
      <c r="B299" s="329" t="s">
        <v>219</v>
      </c>
      <c r="C299" s="311"/>
      <c r="D299" s="318">
        <f>ROUND((D292+D293+D294+D295+D296+D297+D298)/2*360/360,0)</f>
        <v>0</v>
      </c>
      <c r="E299" s="336"/>
    </row>
    <row r="300" spans="2:5" ht="12.75" customHeight="1" hidden="1">
      <c r="B300" s="327"/>
      <c r="C300" s="311"/>
      <c r="D300" s="312"/>
      <c r="E300" s="328"/>
    </row>
    <row r="301" spans="2:5" ht="15" customHeight="1" hidden="1">
      <c r="B301" s="498" t="s">
        <v>36</v>
      </c>
      <c r="C301" s="500"/>
      <c r="D301" s="312"/>
      <c r="E301" s="328"/>
    </row>
    <row r="302" spans="2:5" ht="12.75" customHeight="1" hidden="1">
      <c r="B302" s="327" t="s">
        <v>200</v>
      </c>
      <c r="C302" s="311"/>
      <c r="D302" s="312">
        <f>+D281</f>
        <v>0</v>
      </c>
      <c r="E302" s="328"/>
    </row>
    <row r="303" spans="2:5" ht="15.75" customHeight="1" hidden="1" thickBot="1">
      <c r="B303" s="329" t="s">
        <v>128</v>
      </c>
      <c r="C303" s="311"/>
      <c r="D303" s="318">
        <f>ROUND(D302/30*2,0)</f>
        <v>0</v>
      </c>
      <c r="E303" s="336"/>
    </row>
    <row r="304" spans="2:5" ht="12.75" customHeight="1" hidden="1">
      <c r="B304" s="327"/>
      <c r="C304" s="311"/>
      <c r="D304" s="311"/>
      <c r="E304" s="330"/>
    </row>
    <row r="305" spans="2:5" ht="15.75" customHeight="1" hidden="1">
      <c r="B305" s="331" t="s">
        <v>37</v>
      </c>
      <c r="C305" s="316"/>
      <c r="D305" s="317">
        <f>D288+D299+D303</f>
        <v>0</v>
      </c>
      <c r="E305" s="337"/>
    </row>
    <row r="306" spans="2:5" ht="13.5" customHeight="1" hidden="1" thickBot="1">
      <c r="B306" s="332"/>
      <c r="C306" s="333"/>
      <c r="D306" s="333"/>
      <c r="E306" s="334"/>
    </row>
    <row r="307" ht="12.75" customHeight="1" hidden="1">
      <c r="B307" s="185" t="s">
        <v>127</v>
      </c>
    </row>
    <row r="308" ht="12.75" customHeight="1" hidden="1">
      <c r="B308" s="185" t="s">
        <v>204</v>
      </c>
    </row>
    <row r="309" ht="12.75" customHeight="1" hidden="1">
      <c r="B309" s="185" t="s">
        <v>124</v>
      </c>
    </row>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spans="2:5" ht="12.75" customHeight="1" hidden="1">
      <c r="B342" s="501" t="s">
        <v>279</v>
      </c>
      <c r="C342" s="502"/>
      <c r="D342" s="502"/>
      <c r="E342" s="503"/>
    </row>
    <row r="343" spans="2:5" ht="12.75" customHeight="1" hidden="1">
      <c r="B343" s="504"/>
      <c r="C343" s="505"/>
      <c r="D343" s="505"/>
      <c r="E343" s="506"/>
    </row>
    <row r="344" spans="2:5" ht="12.75" customHeight="1" hidden="1">
      <c r="B344" s="504"/>
      <c r="C344" s="505"/>
      <c r="D344" s="505"/>
      <c r="E344" s="506"/>
    </row>
    <row r="345" spans="2:5" ht="12.75" customHeight="1" hidden="1">
      <c r="B345" s="504"/>
      <c r="C345" s="505"/>
      <c r="D345" s="505"/>
      <c r="E345" s="506"/>
    </row>
    <row r="346" spans="2:5" ht="12.75" customHeight="1" hidden="1">
      <c r="B346" s="504"/>
      <c r="C346" s="505"/>
      <c r="D346" s="505"/>
      <c r="E346" s="506"/>
    </row>
    <row r="347" spans="2:5" ht="12.75" customHeight="1" hidden="1">
      <c r="B347" s="504"/>
      <c r="C347" s="505"/>
      <c r="D347" s="505"/>
      <c r="E347" s="506"/>
    </row>
    <row r="348" spans="2:5" ht="15.75" hidden="1">
      <c r="B348" s="507" t="s">
        <v>290</v>
      </c>
      <c r="C348" s="508"/>
      <c r="D348" s="508"/>
      <c r="E348" s="509"/>
    </row>
    <row r="349" spans="2:5" ht="15.75" hidden="1">
      <c r="B349" s="507" t="s">
        <v>273</v>
      </c>
      <c r="C349" s="508"/>
      <c r="D349" s="508"/>
      <c r="E349" s="509"/>
    </row>
    <row r="350" spans="2:5" ht="12.75" hidden="1">
      <c r="B350" s="510" t="s">
        <v>289</v>
      </c>
      <c r="C350" s="511"/>
      <c r="D350" s="511"/>
      <c r="E350" s="512"/>
    </row>
    <row r="351" spans="2:5" ht="12.75" hidden="1">
      <c r="B351" s="510" t="s">
        <v>286</v>
      </c>
      <c r="C351" s="511"/>
      <c r="D351" s="511"/>
      <c r="E351" s="512"/>
    </row>
    <row r="352" spans="2:5" ht="12.75" hidden="1">
      <c r="B352" s="513" t="s">
        <v>287</v>
      </c>
      <c r="C352" s="514"/>
      <c r="D352" s="514"/>
      <c r="E352" s="515"/>
    </row>
    <row r="353" spans="2:5" ht="12.75" hidden="1">
      <c r="B353" s="491" t="s">
        <v>236</v>
      </c>
      <c r="C353" s="492"/>
      <c r="D353" s="493">
        <v>0</v>
      </c>
      <c r="E353" s="494"/>
    </row>
    <row r="354" spans="2:5" ht="12.75" hidden="1">
      <c r="B354" s="495"/>
      <c r="C354" s="496"/>
      <c r="D354" s="496"/>
      <c r="E354" s="497"/>
    </row>
    <row r="355" spans="2:5" ht="15" hidden="1">
      <c r="B355" s="498" t="s">
        <v>199</v>
      </c>
      <c r="C355" s="499"/>
      <c r="D355" s="311"/>
      <c r="E355" s="330"/>
    </row>
    <row r="356" spans="2:5" ht="12.75" hidden="1">
      <c r="B356" s="327" t="s">
        <v>200</v>
      </c>
      <c r="C356" s="311"/>
      <c r="D356" s="312">
        <v>3432180</v>
      </c>
      <c r="E356" s="328"/>
    </row>
    <row r="357" spans="2:5" ht="12.75" hidden="1">
      <c r="B357" s="327" t="s">
        <v>110</v>
      </c>
      <c r="C357" s="311"/>
      <c r="D357" s="312">
        <v>1029654</v>
      </c>
      <c r="E357" s="328"/>
    </row>
    <row r="358" spans="2:5" ht="12.75" hidden="1">
      <c r="B358" s="327" t="s">
        <v>201</v>
      </c>
      <c r="C358" s="311"/>
      <c r="D358" s="312">
        <v>1166941</v>
      </c>
      <c r="E358" s="328"/>
    </row>
    <row r="359" spans="2:5" ht="12.75" hidden="1">
      <c r="B359" s="327" t="s">
        <v>113</v>
      </c>
      <c r="C359" s="311"/>
      <c r="D359" s="312">
        <v>0</v>
      </c>
      <c r="E359" s="328"/>
    </row>
    <row r="360" spans="2:5" ht="12.75" hidden="1">
      <c r="B360" s="327" t="s">
        <v>111</v>
      </c>
      <c r="C360" s="311"/>
      <c r="D360" s="312">
        <v>0</v>
      </c>
      <c r="E360" s="328"/>
    </row>
    <row r="361" spans="2:6" ht="12.75" hidden="1">
      <c r="B361" s="327" t="s">
        <v>241</v>
      </c>
      <c r="C361" s="374">
        <v>6942156</v>
      </c>
      <c r="D361" s="312">
        <f>ROUND((C361/12),0)</f>
        <v>578513</v>
      </c>
      <c r="E361" s="328"/>
      <c r="F361" s="180"/>
    </row>
    <row r="362" spans="2:5" ht="12.75" hidden="1">
      <c r="B362" s="327" t="s">
        <v>288</v>
      </c>
      <c r="C362" s="312">
        <v>1561641.9</v>
      </c>
      <c r="D362" s="312">
        <f>ROUND((C362/12),0)</f>
        <v>130137</v>
      </c>
      <c r="E362" s="328"/>
    </row>
    <row r="363" spans="2:6" ht="15.75" hidden="1" thickBot="1">
      <c r="B363" s="329" t="s">
        <v>240</v>
      </c>
      <c r="C363" s="311"/>
      <c r="D363" s="318">
        <f>ROUND(((D356+D357+D358+D359+D360+D361+D362)/30*D353)/360*360,0)</f>
        <v>0</v>
      </c>
      <c r="E363" s="335"/>
      <c r="F363" s="315">
        <f>ROUND(((D356+D357+D358+D359)/30*D353)/360*360,0)</f>
        <v>0</v>
      </c>
    </row>
    <row r="364" spans="2:6" ht="12.75" hidden="1">
      <c r="B364" s="327"/>
      <c r="C364" s="311"/>
      <c r="D364" s="311"/>
      <c r="E364" s="330"/>
      <c r="F364" s="180"/>
    </row>
    <row r="365" spans="2:6" ht="12.75" hidden="1">
      <c r="B365" s="327"/>
      <c r="C365" s="311"/>
      <c r="D365" s="311"/>
      <c r="E365" s="330"/>
      <c r="F365" s="180"/>
    </row>
    <row r="366" spans="2:6" ht="15" hidden="1">
      <c r="B366" s="498" t="s">
        <v>5</v>
      </c>
      <c r="C366" s="500"/>
      <c r="D366" s="311"/>
      <c r="E366" s="330"/>
      <c r="F366" s="180"/>
    </row>
    <row r="367" spans="2:5" ht="12.75" hidden="1">
      <c r="B367" s="327" t="s">
        <v>200</v>
      </c>
      <c r="C367" s="311"/>
      <c r="D367" s="312">
        <f>+D356</f>
        <v>3432180</v>
      </c>
      <c r="E367" s="328"/>
    </row>
    <row r="368" spans="2:5" ht="12.75" hidden="1">
      <c r="B368" s="327" t="s">
        <v>110</v>
      </c>
      <c r="C368" s="311"/>
      <c r="D368" s="312">
        <f>+D357</f>
        <v>1029654</v>
      </c>
      <c r="E368" s="328"/>
    </row>
    <row r="369" spans="2:5" ht="12.75" hidden="1">
      <c r="B369" s="327" t="s">
        <v>201</v>
      </c>
      <c r="C369" s="311"/>
      <c r="D369" s="312">
        <f>+D358</f>
        <v>1166941</v>
      </c>
      <c r="E369" s="328"/>
    </row>
    <row r="370" spans="2:5" ht="12.75" hidden="1">
      <c r="B370" s="327" t="s">
        <v>113</v>
      </c>
      <c r="C370" s="311"/>
      <c r="D370" s="312">
        <f>+D359</f>
        <v>0</v>
      </c>
      <c r="E370" s="328"/>
    </row>
    <row r="371" spans="2:5" ht="12.75" hidden="1">
      <c r="B371" s="327" t="s">
        <v>111</v>
      </c>
      <c r="C371" s="311"/>
      <c r="D371" s="312">
        <f>+D360</f>
        <v>0</v>
      </c>
      <c r="E371" s="328"/>
    </row>
    <row r="372" spans="2:5" ht="12.75" hidden="1">
      <c r="B372" s="327" t="str">
        <f>+B361</f>
        <v>1/12 Prima de Servicios Cancelada en Junio 2012</v>
      </c>
      <c r="C372" s="374">
        <f>+C361</f>
        <v>6942156</v>
      </c>
      <c r="D372" s="312">
        <f>ROUND((D361),0)</f>
        <v>578513</v>
      </c>
      <c r="E372" s="328"/>
    </row>
    <row r="373" spans="2:5" ht="12.75" hidden="1">
      <c r="B373" s="327" t="str">
        <f>+B362</f>
        <v>1/12 Bonificación Servicios Prestados Cancelada en noviembre 2012</v>
      </c>
      <c r="C373" s="312">
        <f>+C362</f>
        <v>1561641.9</v>
      </c>
      <c r="D373" s="312">
        <f>ROUND((D362),0)</f>
        <v>130137</v>
      </c>
      <c r="E373" s="328"/>
    </row>
    <row r="374" spans="2:5" ht="15.75" hidden="1" thickBot="1">
      <c r="B374" s="329" t="s">
        <v>219</v>
      </c>
      <c r="C374" s="311"/>
      <c r="D374" s="318">
        <f>ROUND((D367+D368+D369+D370+D371+D372+D373)/2*0/360,0)</f>
        <v>0</v>
      </c>
      <c r="E374" s="336"/>
    </row>
    <row r="375" spans="2:5" ht="12.75" hidden="1">
      <c r="B375" s="327"/>
      <c r="C375" s="311"/>
      <c r="D375" s="312"/>
      <c r="E375" s="328"/>
    </row>
    <row r="376" spans="2:5" ht="15" hidden="1">
      <c r="B376" s="498" t="s">
        <v>36</v>
      </c>
      <c r="C376" s="500"/>
      <c r="D376" s="312"/>
      <c r="E376" s="328"/>
    </row>
    <row r="377" spans="2:5" ht="12.75" hidden="1">
      <c r="B377" s="327" t="s">
        <v>200</v>
      </c>
      <c r="C377" s="311"/>
      <c r="D377" s="312">
        <f>ROUND((D356),0)</f>
        <v>3432180</v>
      </c>
      <c r="E377" s="328"/>
    </row>
    <row r="378" spans="2:5" ht="15.75" hidden="1" thickBot="1">
      <c r="B378" s="329" t="s">
        <v>128</v>
      </c>
      <c r="C378" s="311"/>
      <c r="D378" s="318">
        <f>ROUND(((D377/30)*0),0)</f>
        <v>0</v>
      </c>
      <c r="E378" s="336"/>
    </row>
    <row r="379" spans="2:5" ht="12.75" hidden="1">
      <c r="B379" s="327"/>
      <c r="C379" s="311"/>
      <c r="D379" s="311"/>
      <c r="E379" s="330"/>
    </row>
    <row r="380" spans="2:5" ht="15.75" hidden="1">
      <c r="B380" s="331" t="s">
        <v>37</v>
      </c>
      <c r="C380" s="316"/>
      <c r="D380" s="317">
        <f>D363+D374+D378</f>
        <v>0</v>
      </c>
      <c r="E380" s="337"/>
    </row>
    <row r="381" spans="2:5" ht="13.5" hidden="1" thickBot="1">
      <c r="B381" s="332"/>
      <c r="C381" s="333"/>
      <c r="D381" s="333"/>
      <c r="E381" s="334"/>
    </row>
    <row r="382" ht="12.75" hidden="1">
      <c r="B382" s="185" t="s">
        <v>127</v>
      </c>
    </row>
    <row r="383" ht="12.75" hidden="1">
      <c r="B383" s="185" t="s">
        <v>252</v>
      </c>
    </row>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36" ht="12.75"/>
    <row r="437" ht="12.75"/>
    <row r="438" ht="12.75"/>
    <row r="439" ht="12.75"/>
    <row r="499" ht="12.75"/>
    <row r="500" ht="12.75"/>
    <row r="501" ht="12.75"/>
    <row r="502" ht="12.75"/>
  </sheetData>
  <sheetProtection/>
  <mergeCells count="144">
    <mergeCell ref="G125:H125"/>
    <mergeCell ref="J129:L129"/>
    <mergeCell ref="G103:L103"/>
    <mergeCell ref="G104:I104"/>
    <mergeCell ref="J114:J115"/>
    <mergeCell ref="K114:K115"/>
    <mergeCell ref="L114:L115"/>
    <mergeCell ref="G115:I115"/>
    <mergeCell ref="G98:L98"/>
    <mergeCell ref="G99:L99"/>
    <mergeCell ref="G100:L100"/>
    <mergeCell ref="G101:L101"/>
    <mergeCell ref="G102:I102"/>
    <mergeCell ref="J102:L102"/>
    <mergeCell ref="B280:C280"/>
    <mergeCell ref="B291:C291"/>
    <mergeCell ref="B301:C301"/>
    <mergeCell ref="B275:E275"/>
    <mergeCell ref="B276:E276"/>
    <mergeCell ref="B277:E277"/>
    <mergeCell ref="B278:C278"/>
    <mergeCell ref="D278:E278"/>
    <mergeCell ref="B279:E279"/>
    <mergeCell ref="G55:L55"/>
    <mergeCell ref="G56:L56"/>
    <mergeCell ref="G57:I57"/>
    <mergeCell ref="B267:E272"/>
    <mergeCell ref="B273:E273"/>
    <mergeCell ref="B274:E274"/>
    <mergeCell ref="B115:C115"/>
    <mergeCell ref="B135:E140"/>
    <mergeCell ref="B141:E141"/>
    <mergeCell ref="B142:E142"/>
    <mergeCell ref="B125:C125"/>
    <mergeCell ref="G70:I70"/>
    <mergeCell ref="J57:L57"/>
    <mergeCell ref="B101:E101"/>
    <mergeCell ref="B102:C102"/>
    <mergeCell ref="D102:E102"/>
    <mergeCell ref="B103:E103"/>
    <mergeCell ref="B104:C104"/>
    <mergeCell ref="K69:K70"/>
    <mergeCell ref="L69:L70"/>
    <mergeCell ref="J84:L84"/>
    <mergeCell ref="G58:L58"/>
    <mergeCell ref="B80:C80"/>
    <mergeCell ref="B91:E96"/>
    <mergeCell ref="B97:E97"/>
    <mergeCell ref="J69:J70"/>
    <mergeCell ref="G80:H80"/>
    <mergeCell ref="G59:I59"/>
    <mergeCell ref="G91:L96"/>
    <mergeCell ref="G97:L97"/>
    <mergeCell ref="B35:C35"/>
    <mergeCell ref="B46:E51"/>
    <mergeCell ref="B52:E52"/>
    <mergeCell ref="B53:E53"/>
    <mergeCell ref="B98:E98"/>
    <mergeCell ref="B99:E99"/>
    <mergeCell ref="B54:E54"/>
    <mergeCell ref="B55:E55"/>
    <mergeCell ref="B100:E100"/>
    <mergeCell ref="B56:E56"/>
    <mergeCell ref="B57:C57"/>
    <mergeCell ref="D57:E57"/>
    <mergeCell ref="B58:E58"/>
    <mergeCell ref="B59:C59"/>
    <mergeCell ref="B70:C70"/>
    <mergeCell ref="B11:E11"/>
    <mergeCell ref="B12:C12"/>
    <mergeCell ref="D12:E12"/>
    <mergeCell ref="B13:E13"/>
    <mergeCell ref="B14:C14"/>
    <mergeCell ref="B25:C25"/>
    <mergeCell ref="G46:L51"/>
    <mergeCell ref="G52:L52"/>
    <mergeCell ref="G53:L53"/>
    <mergeCell ref="G54:L54"/>
    <mergeCell ref="B1:E6"/>
    <mergeCell ref="B7:E7"/>
    <mergeCell ref="B8:E8"/>
    <mergeCell ref="B9:E9"/>
    <mergeCell ref="B10:E10"/>
    <mergeCell ref="G25:I25"/>
    <mergeCell ref="G1:L6"/>
    <mergeCell ref="G7:L7"/>
    <mergeCell ref="G8:L8"/>
    <mergeCell ref="G9:L9"/>
    <mergeCell ref="G10:L10"/>
    <mergeCell ref="G35:H35"/>
    <mergeCell ref="J39:L39"/>
    <mergeCell ref="G11:L11"/>
    <mergeCell ref="G12:I12"/>
    <mergeCell ref="J12:L12"/>
    <mergeCell ref="G13:L13"/>
    <mergeCell ref="G14:I14"/>
    <mergeCell ref="J24:J25"/>
    <mergeCell ref="K24:K25"/>
    <mergeCell ref="L24:L25"/>
    <mergeCell ref="B143:E143"/>
    <mergeCell ref="B144:E144"/>
    <mergeCell ref="B145:E145"/>
    <mergeCell ref="B146:C146"/>
    <mergeCell ref="D146:E146"/>
    <mergeCell ref="B147:E147"/>
    <mergeCell ref="B148:C148"/>
    <mergeCell ref="B159:C159"/>
    <mergeCell ref="B169:C169"/>
    <mergeCell ref="B179:E184"/>
    <mergeCell ref="B185:E185"/>
    <mergeCell ref="B186:E186"/>
    <mergeCell ref="B187:E187"/>
    <mergeCell ref="B188:E188"/>
    <mergeCell ref="B189:E189"/>
    <mergeCell ref="B190:C190"/>
    <mergeCell ref="D190:E190"/>
    <mergeCell ref="B191:E191"/>
    <mergeCell ref="B192:C192"/>
    <mergeCell ref="B203:C203"/>
    <mergeCell ref="B213:C213"/>
    <mergeCell ref="B223:E228"/>
    <mergeCell ref="B229:E229"/>
    <mergeCell ref="B230:E230"/>
    <mergeCell ref="B236:C236"/>
    <mergeCell ref="B247:C247"/>
    <mergeCell ref="B257:C257"/>
    <mergeCell ref="B231:E231"/>
    <mergeCell ref="B232:E232"/>
    <mergeCell ref="B233:E233"/>
    <mergeCell ref="B234:C234"/>
    <mergeCell ref="D234:E234"/>
    <mergeCell ref="B235:E235"/>
    <mergeCell ref="B342:E347"/>
    <mergeCell ref="B348:E348"/>
    <mergeCell ref="B349:E349"/>
    <mergeCell ref="B350:E350"/>
    <mergeCell ref="B351:E351"/>
    <mergeCell ref="B352:E352"/>
    <mergeCell ref="B353:C353"/>
    <mergeCell ref="D353:E353"/>
    <mergeCell ref="B354:E354"/>
    <mergeCell ref="B355:C355"/>
    <mergeCell ref="B366:C366"/>
    <mergeCell ref="B376:C376"/>
  </mergeCells>
  <printOptions horizontalCentered="1" verticalCentered="1"/>
  <pageMargins left="0" right="0" top="0.7874015748031497" bottom="0.7874015748031497" header="0" footer="0"/>
  <pageSetup horizontalDpi="600" verticalDpi="600" orientation="portrait" scale="110" r:id="rId4"/>
  <headerFooter alignWithMargins="0">
    <oddHeader>&amp;C&amp;G</oddHeader>
    <oddFooter>&amp;CAvenida Carrera 24 No. 40 - 66. PBX: 2 17 07 11
www.bogotaturismo.gov.co</oddFooter>
  </headerFooter>
  <legacyDrawing r:id="rId2"/>
  <legacyDrawingHF r:id="rId3"/>
</worksheet>
</file>

<file path=xl/worksheets/sheet6.xml><?xml version="1.0" encoding="utf-8"?>
<worksheet xmlns="http://schemas.openxmlformats.org/spreadsheetml/2006/main" xmlns:r="http://schemas.openxmlformats.org/officeDocument/2006/relationships">
  <dimension ref="A1:F23"/>
  <sheetViews>
    <sheetView zoomScalePageLayoutView="0" workbookViewId="0" topLeftCell="A1">
      <selection activeCell="E18" sqref="E18"/>
    </sheetView>
  </sheetViews>
  <sheetFormatPr defaultColWidth="11.421875" defaultRowHeight="12.75"/>
  <cols>
    <col min="1" max="1" width="12.57421875" style="0" customWidth="1"/>
    <col min="2" max="2" width="33.8515625" style="0" bestFit="1" customWidth="1"/>
    <col min="3" max="3" width="16.00390625" style="0" customWidth="1"/>
    <col min="5" max="5" width="14.421875" style="0" bestFit="1" customWidth="1"/>
    <col min="6" max="6" width="24.8515625" style="0" customWidth="1"/>
  </cols>
  <sheetData>
    <row r="1" spans="1:6" ht="20.25">
      <c r="A1" s="472" t="s">
        <v>17</v>
      </c>
      <c r="B1" s="473"/>
      <c r="C1" s="473"/>
      <c r="D1" s="473"/>
      <c r="E1" s="473"/>
      <c r="F1" s="474"/>
    </row>
    <row r="2" spans="1:6" ht="20.25">
      <c r="A2" s="475" t="e">
        <f>+#REF!</f>
        <v>#REF!</v>
      </c>
      <c r="B2" s="476"/>
      <c r="C2" s="476"/>
      <c r="D2" s="476"/>
      <c r="E2" s="476"/>
      <c r="F2" s="477"/>
    </row>
    <row r="3" spans="1:6" ht="15">
      <c r="A3" s="478" t="e">
        <f>+#REF!</f>
        <v>#REF!</v>
      </c>
      <c r="B3" s="479"/>
      <c r="C3" s="479"/>
      <c r="D3" s="479"/>
      <c r="E3" s="479"/>
      <c r="F3" s="480"/>
    </row>
    <row r="4" spans="1:6" ht="15">
      <c r="A4" s="478" t="e">
        <f>+#REF!</f>
        <v>#REF!</v>
      </c>
      <c r="B4" s="479"/>
      <c r="C4" s="479"/>
      <c r="D4" s="479"/>
      <c r="E4" s="479"/>
      <c r="F4" s="480"/>
    </row>
    <row r="5" spans="1:6" ht="15">
      <c r="A5" s="478" t="e">
        <f>+#REF!</f>
        <v>#REF!</v>
      </c>
      <c r="B5" s="479"/>
      <c r="C5" s="479"/>
      <c r="D5" s="479"/>
      <c r="E5" s="479"/>
      <c r="F5" s="480"/>
    </row>
    <row r="6" spans="1:6" ht="15.75" thickBot="1">
      <c r="A6" s="569"/>
      <c r="B6" s="570"/>
      <c r="C6" s="570"/>
      <c r="D6" s="570"/>
      <c r="E6" s="570"/>
      <c r="F6" s="571"/>
    </row>
    <row r="7" spans="1:6" ht="16.5" thickBot="1">
      <c r="A7" s="560" t="s">
        <v>51</v>
      </c>
      <c r="B7" s="561"/>
      <c r="C7" s="561"/>
      <c r="D7" s="561"/>
      <c r="E7" s="561"/>
      <c r="F7" s="562"/>
    </row>
    <row r="8" spans="1:6" ht="48" thickBot="1">
      <c r="A8" s="344" t="s">
        <v>32</v>
      </c>
      <c r="B8" s="345" t="s">
        <v>11</v>
      </c>
      <c r="C8" s="344" t="s">
        <v>33</v>
      </c>
      <c r="D8" s="344" t="s">
        <v>42</v>
      </c>
      <c r="E8" s="345" t="s">
        <v>43</v>
      </c>
      <c r="F8" s="344" t="s">
        <v>129</v>
      </c>
    </row>
    <row r="9" spans="1:6" ht="13.5" thickBot="1">
      <c r="A9" s="201" t="e">
        <f>#REF!</f>
        <v>#REF!</v>
      </c>
      <c r="B9" s="202" t="e">
        <f>#REF!</f>
        <v>#REF!</v>
      </c>
      <c r="C9" s="184" t="e">
        <f>#REF!</f>
        <v>#REF!</v>
      </c>
      <c r="D9" s="203">
        <v>0</v>
      </c>
      <c r="E9" s="204">
        <v>24599024014</v>
      </c>
      <c r="F9" s="200" t="s">
        <v>210</v>
      </c>
    </row>
    <row r="10" spans="1:6" ht="16.5" thickBot="1">
      <c r="A10" s="346" t="s">
        <v>44</v>
      </c>
      <c r="B10" s="347"/>
      <c r="C10" s="346"/>
      <c r="D10" s="348"/>
      <c r="E10" s="349"/>
      <c r="F10" s="348"/>
    </row>
    <row r="11" spans="1:6" ht="15">
      <c r="A11" s="188"/>
      <c r="B11" s="187"/>
      <c r="C11" s="187"/>
      <c r="D11" s="189"/>
      <c r="E11" s="187"/>
      <c r="F11" s="192"/>
    </row>
    <row r="12" spans="1:6" ht="15">
      <c r="A12" s="188"/>
      <c r="B12" s="187"/>
      <c r="C12" s="187"/>
      <c r="D12" s="189"/>
      <c r="E12" s="187"/>
      <c r="F12" s="192"/>
    </row>
    <row r="13" spans="1:6" ht="15">
      <c r="A13" s="188"/>
      <c r="B13" s="187"/>
      <c r="C13" s="187"/>
      <c r="D13" s="189"/>
      <c r="E13" s="187"/>
      <c r="F13" s="192"/>
    </row>
    <row r="14" spans="1:6" ht="15">
      <c r="A14" s="188"/>
      <c r="B14" s="187"/>
      <c r="C14" s="187"/>
      <c r="D14" s="189"/>
      <c r="E14" s="187"/>
      <c r="F14" s="192"/>
    </row>
    <row r="15" spans="1:6" ht="15">
      <c r="A15" s="188"/>
      <c r="B15" s="187"/>
      <c r="C15" s="187"/>
      <c r="D15" s="187"/>
      <c r="E15" s="187"/>
      <c r="F15" s="192"/>
    </row>
    <row r="16" spans="1:6" ht="15.75" thickBot="1">
      <c r="A16" s="197"/>
      <c r="B16" s="190"/>
      <c r="C16" s="187"/>
      <c r="D16" s="187"/>
      <c r="E16" s="190"/>
      <c r="F16" s="195"/>
    </row>
    <row r="17" spans="1:6" ht="15.75" customHeight="1">
      <c r="A17" s="565" t="s">
        <v>125</v>
      </c>
      <c r="B17" s="566"/>
      <c r="C17" s="187"/>
      <c r="D17" s="191"/>
      <c r="E17" s="563" t="s">
        <v>215</v>
      </c>
      <c r="F17" s="564"/>
    </row>
    <row r="18" spans="1:6" ht="15">
      <c r="A18" s="567"/>
      <c r="B18" s="568"/>
      <c r="C18" s="187"/>
      <c r="D18" s="187"/>
      <c r="E18" s="187"/>
      <c r="F18" s="192"/>
    </row>
    <row r="19" spans="1:6" ht="15">
      <c r="A19" s="188"/>
      <c r="B19" s="187"/>
      <c r="C19" s="187"/>
      <c r="D19" s="187"/>
      <c r="E19" s="187"/>
      <c r="F19" s="192"/>
    </row>
    <row r="20" spans="1:6" ht="15">
      <c r="A20" s="194"/>
      <c r="B20" s="187"/>
      <c r="C20" s="187"/>
      <c r="D20" s="187"/>
      <c r="E20" s="187"/>
      <c r="F20" s="192"/>
    </row>
    <row r="21" spans="1:6" ht="15">
      <c r="A21" s="175" t="s">
        <v>203</v>
      </c>
      <c r="B21" s="187"/>
      <c r="C21" s="187"/>
      <c r="D21" s="187"/>
      <c r="E21" s="187"/>
      <c r="F21" s="192"/>
    </row>
    <row r="22" spans="1:6" ht="15">
      <c r="A22" s="175" t="s">
        <v>204</v>
      </c>
      <c r="B22" s="187"/>
      <c r="C22" s="187"/>
      <c r="D22" s="187"/>
      <c r="E22" s="187"/>
      <c r="F22" s="192"/>
    </row>
    <row r="23" spans="1:6" ht="15.75" thickBot="1">
      <c r="A23" s="176" t="s">
        <v>205</v>
      </c>
      <c r="B23" s="190"/>
      <c r="C23" s="190"/>
      <c r="D23" s="190"/>
      <c r="E23" s="190"/>
      <c r="F23" s="195"/>
    </row>
  </sheetData>
  <sheetProtection/>
  <mergeCells count="9">
    <mergeCell ref="A7:F7"/>
    <mergeCell ref="E17:F17"/>
    <mergeCell ref="A17:B18"/>
    <mergeCell ref="A1:F1"/>
    <mergeCell ref="A2:F2"/>
    <mergeCell ref="A3:F3"/>
    <mergeCell ref="A4:F4"/>
    <mergeCell ref="A5:F5"/>
    <mergeCell ref="A6:F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4" tint="0.39998000860214233"/>
    <pageSetUpPr fitToPage="1"/>
  </sheetPr>
  <dimension ref="A1:HX23"/>
  <sheetViews>
    <sheetView zoomScalePageLayoutView="0" workbookViewId="0" topLeftCell="A1">
      <selection activeCell="D10" sqref="D10"/>
    </sheetView>
  </sheetViews>
  <sheetFormatPr defaultColWidth="11.7109375" defaultRowHeight="12.75"/>
  <cols>
    <col min="1" max="1" width="21.7109375" style="181" customWidth="1"/>
    <col min="2" max="2" width="34.00390625" style="181" customWidth="1"/>
    <col min="3" max="4" width="17.421875" style="181" customWidth="1"/>
    <col min="5" max="5" width="19.7109375" style="181" bestFit="1" customWidth="1"/>
    <col min="6" max="6" width="29.140625" style="181" customWidth="1"/>
    <col min="7" max="16384" width="11.7109375" style="181" customWidth="1"/>
  </cols>
  <sheetData>
    <row r="1" spans="1:6" ht="20.25">
      <c r="A1" s="472" t="s">
        <v>17</v>
      </c>
      <c r="B1" s="473"/>
      <c r="C1" s="473"/>
      <c r="D1" s="473"/>
      <c r="E1" s="473"/>
      <c r="F1" s="474"/>
    </row>
    <row r="2" spans="1:6" ht="20.25">
      <c r="A2" s="475" t="e">
        <f>+#REF!</f>
        <v>#REF!</v>
      </c>
      <c r="B2" s="476"/>
      <c r="C2" s="476"/>
      <c r="D2" s="476"/>
      <c r="E2" s="476"/>
      <c r="F2" s="477"/>
    </row>
    <row r="3" spans="1:6" ht="15">
      <c r="A3" s="478" t="e">
        <f>+#REF!</f>
        <v>#REF!</v>
      </c>
      <c r="B3" s="479"/>
      <c r="C3" s="479"/>
      <c r="D3" s="479"/>
      <c r="E3" s="479"/>
      <c r="F3" s="480"/>
    </row>
    <row r="4" spans="1:6" ht="15">
      <c r="A4" s="478" t="e">
        <f>+#REF!</f>
        <v>#REF!</v>
      </c>
      <c r="B4" s="479"/>
      <c r="C4" s="479"/>
      <c r="D4" s="479"/>
      <c r="E4" s="479"/>
      <c r="F4" s="480"/>
    </row>
    <row r="5" spans="1:6" ht="15">
      <c r="A5" s="478" t="e">
        <f>+#REF!</f>
        <v>#REF!</v>
      </c>
      <c r="B5" s="479"/>
      <c r="C5" s="479"/>
      <c r="D5" s="479"/>
      <c r="E5" s="479"/>
      <c r="F5" s="480"/>
    </row>
    <row r="6" spans="1:232" s="193" customFormat="1" ht="18" customHeight="1" thickBot="1">
      <c r="A6" s="569"/>
      <c r="B6" s="570"/>
      <c r="C6" s="570"/>
      <c r="D6" s="570"/>
      <c r="E6" s="570"/>
      <c r="F6" s="571"/>
      <c r="HX6" s="181"/>
    </row>
    <row r="7" spans="1:9" ht="21" customHeight="1" thickBot="1">
      <c r="A7" s="560" t="s">
        <v>51</v>
      </c>
      <c r="B7" s="561"/>
      <c r="C7" s="561"/>
      <c r="D7" s="561"/>
      <c r="E7" s="561"/>
      <c r="F7" s="562"/>
      <c r="H7" s="341"/>
      <c r="I7" s="342"/>
    </row>
    <row r="8" spans="1:232" s="198" customFormat="1" ht="45.75" customHeight="1" thickBot="1">
      <c r="A8" s="344" t="s">
        <v>32</v>
      </c>
      <c r="B8" s="345" t="s">
        <v>11</v>
      </c>
      <c r="C8" s="344" t="s">
        <v>33</v>
      </c>
      <c r="D8" s="344" t="s">
        <v>42</v>
      </c>
      <c r="E8" s="345" t="s">
        <v>43</v>
      </c>
      <c r="F8" s="344" t="s">
        <v>129</v>
      </c>
      <c r="HX8" s="199"/>
    </row>
    <row r="9" spans="1:6" s="196" customFormat="1" ht="18.75" customHeight="1" thickBot="1">
      <c r="A9" s="201">
        <v>51983119</v>
      </c>
      <c r="B9" s="202" t="s">
        <v>94</v>
      </c>
      <c r="C9" s="184" t="e">
        <f>#REF!</f>
        <v>#REF!</v>
      </c>
      <c r="D9" s="203">
        <v>0</v>
      </c>
      <c r="E9" s="204">
        <v>24599024014</v>
      </c>
      <c r="F9" s="200" t="s">
        <v>207</v>
      </c>
    </row>
    <row r="10" spans="1:6" ht="16.5" thickBot="1">
      <c r="A10" s="346" t="s">
        <v>44</v>
      </c>
      <c r="B10" s="347"/>
      <c r="C10" s="346"/>
      <c r="D10" s="348">
        <f>SUM(D9:D9)</f>
        <v>0</v>
      </c>
      <c r="E10" s="349"/>
      <c r="F10" s="348"/>
    </row>
    <row r="11" spans="1:6" ht="15">
      <c r="A11" s="188"/>
      <c r="B11" s="187"/>
      <c r="C11" s="187"/>
      <c r="D11" s="189"/>
      <c r="E11" s="187"/>
      <c r="F11" s="192"/>
    </row>
    <row r="12" spans="1:6" ht="15">
      <c r="A12" s="188"/>
      <c r="B12" s="187"/>
      <c r="C12" s="187"/>
      <c r="D12" s="189"/>
      <c r="E12" s="187"/>
      <c r="F12" s="192"/>
    </row>
    <row r="13" spans="1:6" ht="15">
      <c r="A13" s="188"/>
      <c r="B13" s="187"/>
      <c r="C13" s="187"/>
      <c r="D13" s="189"/>
      <c r="E13" s="187"/>
      <c r="F13" s="192"/>
    </row>
    <row r="14" spans="1:6" ht="15">
      <c r="A14" s="188"/>
      <c r="B14" s="187"/>
      <c r="C14" s="187"/>
      <c r="D14" s="189"/>
      <c r="E14" s="187"/>
      <c r="F14" s="192"/>
    </row>
    <row r="15" spans="1:6" ht="15">
      <c r="A15" s="188"/>
      <c r="B15" s="187"/>
      <c r="C15" s="187"/>
      <c r="D15" s="187"/>
      <c r="E15" s="187"/>
      <c r="F15" s="192"/>
    </row>
    <row r="16" spans="1:6" ht="15.75" thickBot="1">
      <c r="A16" s="197"/>
      <c r="B16" s="190"/>
      <c r="C16" s="187"/>
      <c r="D16" s="187"/>
      <c r="E16" s="190"/>
      <c r="F16" s="195"/>
    </row>
    <row r="17" spans="1:6" ht="42.75" customHeight="1">
      <c r="A17" s="572" t="s">
        <v>125</v>
      </c>
      <c r="B17" s="563"/>
      <c r="C17" s="187"/>
      <c r="D17" s="191"/>
      <c r="E17" s="563" t="s">
        <v>215</v>
      </c>
      <c r="F17" s="564"/>
    </row>
    <row r="18" spans="1:6" ht="15">
      <c r="A18" s="188"/>
      <c r="B18" s="187"/>
      <c r="C18" s="187"/>
      <c r="D18" s="187"/>
      <c r="E18" s="187"/>
      <c r="F18" s="192"/>
    </row>
    <row r="19" spans="1:6" ht="15">
      <c r="A19" s="188"/>
      <c r="B19" s="187"/>
      <c r="C19" s="187"/>
      <c r="D19" s="187"/>
      <c r="E19" s="187"/>
      <c r="F19" s="192"/>
    </row>
    <row r="20" spans="1:6" ht="15">
      <c r="A20" s="194"/>
      <c r="B20" s="187"/>
      <c r="C20" s="187"/>
      <c r="D20" s="187"/>
      <c r="E20" s="187"/>
      <c r="F20" s="192"/>
    </row>
    <row r="21" spans="1:6" ht="15">
      <c r="A21" s="175" t="s">
        <v>203</v>
      </c>
      <c r="B21" s="187"/>
      <c r="C21" s="187"/>
      <c r="D21" s="187"/>
      <c r="E21" s="187"/>
      <c r="F21" s="192"/>
    </row>
    <row r="22" spans="1:6" ht="15">
      <c r="A22" s="175" t="s">
        <v>204</v>
      </c>
      <c r="B22" s="187"/>
      <c r="C22" s="187"/>
      <c r="D22" s="187"/>
      <c r="E22" s="187"/>
      <c r="F22" s="192"/>
    </row>
    <row r="23" spans="1:6" ht="15.75" thickBot="1">
      <c r="A23" s="176" t="s">
        <v>205</v>
      </c>
      <c r="B23" s="190"/>
      <c r="C23" s="190"/>
      <c r="D23" s="190"/>
      <c r="E23" s="190"/>
      <c r="F23" s="195"/>
    </row>
  </sheetData>
  <sheetProtection/>
  <mergeCells count="9">
    <mergeCell ref="A17:B17"/>
    <mergeCell ref="E17:F17"/>
    <mergeCell ref="A7:F7"/>
    <mergeCell ref="A1:F1"/>
    <mergeCell ref="A2:F2"/>
    <mergeCell ref="A3:F3"/>
    <mergeCell ref="A4:F4"/>
    <mergeCell ref="A5:F5"/>
    <mergeCell ref="A6:F6"/>
  </mergeCells>
  <printOptions horizontalCentered="1" verticalCentered="1"/>
  <pageMargins left="0.7874015748031497" right="0.7874015748031497" top="0.9448818897637796" bottom="0.31496062992125984" header="0.7874015748031497" footer="0.5905511811023623"/>
  <pageSetup fitToHeight="1" fitToWidth="1" horizontalDpi="600" verticalDpi="600" orientation="landscape" scale="88" r:id="rId2"/>
  <headerFooter alignWithMargins="0">
    <oddHeader>&amp;C&amp;G</oddHeader>
    <oddFooter>&amp;CCalle 70 No. 7 - 40. Teléfono: 2 17 07 11  Fax: 2 17 07 11   Ext 201 - 335
www.bogotaturismo.gov.co</oddFooter>
  </headerFooter>
  <legacyDrawingHF r:id="rId1"/>
</worksheet>
</file>

<file path=xl/worksheets/sheet8.xml><?xml version="1.0" encoding="utf-8"?>
<worksheet xmlns="http://schemas.openxmlformats.org/spreadsheetml/2006/main" xmlns:r="http://schemas.openxmlformats.org/officeDocument/2006/relationships">
  <sheetPr>
    <tabColor theme="4" tint="0.39998000860214233"/>
    <pageSetUpPr fitToPage="1"/>
  </sheetPr>
  <dimension ref="A1:HX23"/>
  <sheetViews>
    <sheetView zoomScalePageLayoutView="0" workbookViewId="0" topLeftCell="A1">
      <selection activeCell="D10" sqref="D10"/>
    </sheetView>
  </sheetViews>
  <sheetFormatPr defaultColWidth="11.7109375" defaultRowHeight="12.75"/>
  <cols>
    <col min="1" max="1" width="21.7109375" style="181" customWidth="1"/>
    <col min="2" max="2" width="36.00390625" style="181" customWidth="1"/>
    <col min="3" max="4" width="17.421875" style="181" customWidth="1"/>
    <col min="5" max="5" width="22.7109375" style="181" customWidth="1"/>
    <col min="6" max="6" width="29.140625" style="181" customWidth="1"/>
    <col min="7" max="16384" width="11.7109375" style="181" customWidth="1"/>
  </cols>
  <sheetData>
    <row r="1" spans="1:6" ht="20.25">
      <c r="A1" s="472" t="s">
        <v>17</v>
      </c>
      <c r="B1" s="473"/>
      <c r="C1" s="473"/>
      <c r="D1" s="473"/>
      <c r="E1" s="473"/>
      <c r="F1" s="474"/>
    </row>
    <row r="2" spans="1:6" ht="20.25">
      <c r="A2" s="475" t="e">
        <f>+#REF!</f>
        <v>#REF!</v>
      </c>
      <c r="B2" s="476"/>
      <c r="C2" s="476"/>
      <c r="D2" s="476"/>
      <c r="E2" s="476"/>
      <c r="F2" s="477"/>
    </row>
    <row r="3" spans="1:6" ht="15">
      <c r="A3" s="478" t="e">
        <f>+#REF!</f>
        <v>#REF!</v>
      </c>
      <c r="B3" s="479"/>
      <c r="C3" s="479"/>
      <c r="D3" s="479"/>
      <c r="E3" s="479"/>
      <c r="F3" s="480"/>
    </row>
    <row r="4" spans="1:6" ht="15">
      <c r="A4" s="478" t="e">
        <f>+#REF!</f>
        <v>#REF!</v>
      </c>
      <c r="B4" s="479"/>
      <c r="C4" s="479"/>
      <c r="D4" s="479"/>
      <c r="E4" s="479"/>
      <c r="F4" s="480"/>
    </row>
    <row r="5" spans="1:6" ht="15">
      <c r="A5" s="478" t="e">
        <f>+#REF!</f>
        <v>#REF!</v>
      </c>
      <c r="B5" s="479"/>
      <c r="C5" s="479"/>
      <c r="D5" s="479"/>
      <c r="E5" s="479"/>
      <c r="F5" s="480"/>
    </row>
    <row r="6" spans="1:232" s="193" customFormat="1" ht="18" customHeight="1" thickBot="1">
      <c r="A6" s="569"/>
      <c r="B6" s="570"/>
      <c r="C6" s="570"/>
      <c r="D6" s="570"/>
      <c r="E6" s="570"/>
      <c r="F6" s="571"/>
      <c r="HX6" s="181"/>
    </row>
    <row r="7" spans="1:9" ht="21" customHeight="1" thickBot="1">
      <c r="A7" s="560" t="s">
        <v>225</v>
      </c>
      <c r="B7" s="561"/>
      <c r="C7" s="561"/>
      <c r="D7" s="561"/>
      <c r="E7" s="561"/>
      <c r="F7" s="562"/>
      <c r="H7" s="341"/>
      <c r="I7" s="342"/>
    </row>
    <row r="8" spans="1:232" s="198" customFormat="1" ht="45.75" customHeight="1" thickBot="1">
      <c r="A8" s="344" t="s">
        <v>32</v>
      </c>
      <c r="B8" s="345" t="s">
        <v>11</v>
      </c>
      <c r="C8" s="344" t="s">
        <v>33</v>
      </c>
      <c r="D8" s="344" t="s">
        <v>42</v>
      </c>
      <c r="E8" s="345" t="s">
        <v>228</v>
      </c>
      <c r="F8" s="344" t="s">
        <v>129</v>
      </c>
      <c r="HX8" s="199"/>
    </row>
    <row r="9" spans="1:6" s="196" customFormat="1" ht="18.75" customHeight="1" thickBot="1">
      <c r="A9" s="201">
        <v>79940367</v>
      </c>
      <c r="B9" s="202" t="s">
        <v>107</v>
      </c>
      <c r="C9" s="184" t="e">
        <f>#REF!</f>
        <v>#REF!</v>
      </c>
      <c r="D9" s="203">
        <v>0</v>
      </c>
      <c r="E9" s="372">
        <v>119828105</v>
      </c>
      <c r="F9" s="200" t="s">
        <v>226</v>
      </c>
    </row>
    <row r="10" spans="1:6" ht="16.5" thickBot="1">
      <c r="A10" s="346" t="s">
        <v>44</v>
      </c>
      <c r="B10" s="347"/>
      <c r="C10" s="346"/>
      <c r="D10" s="348">
        <f>SUM(D9:D9)</f>
        <v>0</v>
      </c>
      <c r="E10" s="349"/>
      <c r="F10" s="348"/>
    </row>
    <row r="11" spans="1:6" ht="15">
      <c r="A11" s="188"/>
      <c r="B11" s="187"/>
      <c r="C11" s="187"/>
      <c r="D11" s="189"/>
      <c r="E11" s="187"/>
      <c r="F11" s="192"/>
    </row>
    <row r="12" spans="1:6" ht="15">
      <c r="A12" s="188"/>
      <c r="B12" s="187"/>
      <c r="C12" s="356"/>
      <c r="D12" s="189"/>
      <c r="E12" s="187"/>
      <c r="F12" s="192"/>
    </row>
    <row r="13" spans="1:6" ht="15">
      <c r="A13" s="188"/>
      <c r="B13" s="187"/>
      <c r="C13" s="371"/>
      <c r="D13" s="189"/>
      <c r="E13" s="187"/>
      <c r="F13" s="192"/>
    </row>
    <row r="14" spans="1:6" ht="15">
      <c r="A14" s="188"/>
      <c r="B14" s="187"/>
      <c r="C14" s="356"/>
      <c r="D14" s="189"/>
      <c r="E14" s="187"/>
      <c r="F14" s="192"/>
    </row>
    <row r="15" spans="1:6" ht="15">
      <c r="A15" s="188"/>
      <c r="B15" s="187"/>
      <c r="C15" s="187"/>
      <c r="D15" s="187"/>
      <c r="E15" s="187"/>
      <c r="F15" s="192"/>
    </row>
    <row r="16" spans="1:6" ht="15.75" thickBot="1">
      <c r="A16" s="197"/>
      <c r="B16" s="190"/>
      <c r="C16" s="187"/>
      <c r="D16" s="187"/>
      <c r="E16" s="190"/>
      <c r="F16" s="195"/>
    </row>
    <row r="17" spans="1:6" ht="42.75" customHeight="1">
      <c r="A17" s="572" t="s">
        <v>125</v>
      </c>
      <c r="B17" s="563"/>
      <c r="C17" s="187"/>
      <c r="D17" s="191"/>
      <c r="E17" s="563" t="s">
        <v>215</v>
      </c>
      <c r="F17" s="564"/>
    </row>
    <row r="18" spans="1:6" ht="15">
      <c r="A18" s="188"/>
      <c r="B18" s="187"/>
      <c r="C18" s="187"/>
      <c r="D18" s="187"/>
      <c r="E18" s="187"/>
      <c r="F18" s="192"/>
    </row>
    <row r="19" spans="1:6" ht="15">
      <c r="A19" s="188"/>
      <c r="B19" s="187"/>
      <c r="C19" s="187"/>
      <c r="D19" s="187"/>
      <c r="E19" s="187"/>
      <c r="F19" s="192"/>
    </row>
    <row r="20" spans="1:6" ht="15">
      <c r="A20" s="194"/>
      <c r="B20" s="187"/>
      <c r="C20" s="187"/>
      <c r="D20" s="187"/>
      <c r="E20" s="187"/>
      <c r="F20" s="192"/>
    </row>
    <row r="21" spans="1:6" ht="15">
      <c r="A21" s="175" t="s">
        <v>203</v>
      </c>
      <c r="B21" s="187"/>
      <c r="C21" s="187"/>
      <c r="D21" s="187"/>
      <c r="E21" s="187"/>
      <c r="F21" s="192"/>
    </row>
    <row r="22" spans="1:6" ht="15">
      <c r="A22" s="175" t="s">
        <v>204</v>
      </c>
      <c r="B22" s="187"/>
      <c r="C22" s="187"/>
      <c r="D22" s="187"/>
      <c r="E22" s="187"/>
      <c r="F22" s="192"/>
    </row>
    <row r="23" spans="1:6" ht="15.75" thickBot="1">
      <c r="A23" s="176" t="s">
        <v>256</v>
      </c>
      <c r="B23" s="190"/>
      <c r="C23" s="190"/>
      <c r="D23" s="190"/>
      <c r="E23" s="190"/>
      <c r="F23" s="195"/>
    </row>
  </sheetData>
  <sheetProtection/>
  <mergeCells count="9">
    <mergeCell ref="A7:F7"/>
    <mergeCell ref="A17:B17"/>
    <mergeCell ref="E17:F17"/>
    <mergeCell ref="A1:F1"/>
    <mergeCell ref="A2:F2"/>
    <mergeCell ref="A3:F3"/>
    <mergeCell ref="A4:F4"/>
    <mergeCell ref="A5:F5"/>
    <mergeCell ref="A6:F6"/>
  </mergeCells>
  <printOptions horizontalCentered="1" verticalCentered="1"/>
  <pageMargins left="0.7086614173228347" right="0.7086614173228347" top="0.7480314960629921" bottom="0.7480314960629921" header="0.31496062992125984" footer="0.31496062992125984"/>
  <pageSetup fitToHeight="1" fitToWidth="1" horizontalDpi="300" verticalDpi="300" orientation="landscape" scale="86" r:id="rId2"/>
  <headerFooter>
    <oddHeader>&amp;C&amp;G</oddHeader>
    <oddFooter>&amp;CAvenida Carrera 24 No. 40 - 66. PBX: 2 17 07 11
www.bogotaturismo.gov.co</oddFooter>
  </headerFooter>
  <legacyDrawingHF r:id="rId1"/>
</worksheet>
</file>

<file path=xl/worksheets/sheet9.xml><?xml version="1.0" encoding="utf-8"?>
<worksheet xmlns="http://schemas.openxmlformats.org/spreadsheetml/2006/main" xmlns:r="http://schemas.openxmlformats.org/officeDocument/2006/relationships">
  <dimension ref="A1:BG235"/>
  <sheetViews>
    <sheetView zoomScalePageLayoutView="0" workbookViewId="0" topLeftCell="A2">
      <pane xSplit="4" ySplit="2" topLeftCell="G4" activePane="bottomRight" state="frozen"/>
      <selection pane="topLeft" activeCell="A2" sqref="A2"/>
      <selection pane="topRight" activeCell="E2" sqref="E2"/>
      <selection pane="bottomLeft" activeCell="A4" sqref="A4"/>
      <selection pane="bottomRight" activeCell="L9" sqref="L9"/>
    </sheetView>
  </sheetViews>
  <sheetFormatPr defaultColWidth="11.421875" defaultRowHeight="12.75"/>
  <cols>
    <col min="1" max="1" width="11.7109375" style="212" customWidth="1"/>
    <col min="2" max="2" width="9.140625" style="212" customWidth="1"/>
    <col min="3" max="3" width="36.421875" style="212" customWidth="1"/>
    <col min="4" max="4" width="21.8515625" style="212" customWidth="1"/>
    <col min="5" max="5" width="10.421875" style="212" customWidth="1"/>
    <col min="6" max="6" width="11.28125" style="212" customWidth="1"/>
    <col min="7" max="7" width="12.28125" style="212" customWidth="1"/>
    <col min="8" max="8" width="19.00390625" style="212" customWidth="1"/>
    <col min="9" max="9" width="15.57421875" style="212" customWidth="1"/>
    <col min="10" max="10" width="12.8515625" style="212" customWidth="1"/>
    <col min="11" max="11" width="15.140625" style="212" customWidth="1"/>
    <col min="12" max="12" width="15.00390625" style="212" customWidth="1"/>
    <col min="13" max="13" width="18.28125" style="212" customWidth="1"/>
    <col min="14" max="14" width="17.421875" style="212" customWidth="1"/>
    <col min="15" max="15" width="15.7109375" style="212" customWidth="1"/>
    <col min="16" max="16" width="16.421875" style="212" customWidth="1"/>
    <col min="17" max="17" width="13.7109375" style="212" customWidth="1"/>
    <col min="18" max="18" width="18.8515625" style="212" customWidth="1"/>
    <col min="19" max="19" width="15.8515625" style="212" customWidth="1"/>
    <col min="20" max="20" width="11.28125" style="212" bestFit="1" customWidth="1"/>
    <col min="21" max="21" width="10.140625" style="212" customWidth="1"/>
    <col min="22" max="22" width="16.28125" style="212" customWidth="1"/>
    <col min="23" max="23" width="11.7109375" style="212" customWidth="1"/>
    <col min="24" max="24" width="12.28125" style="212" bestFit="1" customWidth="1"/>
    <col min="25" max="25" width="11.140625" style="212" bestFit="1" customWidth="1"/>
    <col min="26" max="26" width="10.57421875" style="212" bestFit="1" customWidth="1"/>
    <col min="27" max="27" width="11.140625" style="212" bestFit="1" customWidth="1"/>
    <col min="28" max="28" width="12.28125" style="212" bestFit="1" customWidth="1"/>
    <col min="29" max="30" width="11.28125" style="212" bestFit="1" customWidth="1"/>
    <col min="31" max="31" width="11.140625" style="212" bestFit="1" customWidth="1"/>
    <col min="32" max="32" width="8.28125" style="212" bestFit="1" customWidth="1"/>
    <col min="33" max="33" width="11.140625" style="212" bestFit="1" customWidth="1"/>
    <col min="34" max="34" width="11.28125" style="212" bestFit="1" customWidth="1"/>
    <col min="35" max="35" width="9.8515625" style="212" bestFit="1" customWidth="1"/>
    <col min="36" max="36" width="11.28125" style="212" bestFit="1" customWidth="1"/>
    <col min="37" max="37" width="10.57421875" style="212" bestFit="1" customWidth="1"/>
    <col min="38" max="38" width="12.28125" style="212" bestFit="1" customWidth="1"/>
    <col min="39" max="39" width="11.140625" style="212" bestFit="1" customWidth="1"/>
    <col min="40" max="40" width="11.28125" style="212" bestFit="1" customWidth="1"/>
    <col min="41" max="41" width="11.140625" style="212" bestFit="1" customWidth="1"/>
    <col min="42" max="42" width="12.28125" style="212" bestFit="1" customWidth="1"/>
    <col min="43" max="43" width="11.28125" style="212" bestFit="1" customWidth="1"/>
    <col min="44" max="44" width="10.7109375" style="212" bestFit="1" customWidth="1"/>
    <col min="45" max="45" width="11.140625" style="212" bestFit="1" customWidth="1"/>
    <col min="46" max="46" width="10.7109375" style="212" bestFit="1" customWidth="1"/>
    <col min="47" max="47" width="11.140625" style="212" bestFit="1" customWidth="1"/>
    <col min="48" max="48" width="10.7109375" style="212" customWidth="1"/>
    <col min="49" max="49" width="11.421875" style="212" customWidth="1"/>
    <col min="50" max="50" width="11.28125" style="212" bestFit="1" customWidth="1"/>
    <col min="51" max="51" width="12.7109375" style="212" customWidth="1"/>
    <col min="52" max="52" width="11.28125" style="212" bestFit="1" customWidth="1"/>
    <col min="53" max="53" width="14.140625" style="212" customWidth="1"/>
    <col min="54" max="54" width="12.28125" style="212" bestFit="1" customWidth="1"/>
    <col min="55" max="55" width="13.140625" style="212" bestFit="1" customWidth="1"/>
    <col min="56" max="58" width="11.421875" style="212" customWidth="1"/>
    <col min="59" max="59" width="17.8515625" style="212" bestFit="1" customWidth="1"/>
    <col min="60" max="16384" width="11.421875" style="212" customWidth="1"/>
  </cols>
  <sheetData>
    <row r="1" spans="1:57" ht="11.25" hidden="1">
      <c r="A1" s="599" t="s">
        <v>131</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1"/>
      <c r="AX1" s="600"/>
      <c r="AY1" s="601"/>
      <c r="AZ1" s="600"/>
      <c r="BA1" s="602"/>
      <c r="BB1" s="264"/>
      <c r="BC1" s="207"/>
      <c r="BD1" s="207"/>
      <c r="BE1" s="207"/>
    </row>
    <row r="2" spans="1:56" ht="11.25">
      <c r="A2" s="603" t="s">
        <v>132</v>
      </c>
      <c r="B2" s="605" t="s">
        <v>133</v>
      </c>
      <c r="C2" s="597" t="s">
        <v>134</v>
      </c>
      <c r="D2" s="597" t="s">
        <v>135</v>
      </c>
      <c r="E2" s="590" t="s">
        <v>136</v>
      </c>
      <c r="F2" s="590" t="s">
        <v>137</v>
      </c>
      <c r="G2" s="597" t="s">
        <v>191</v>
      </c>
      <c r="H2" s="597" t="s">
        <v>208</v>
      </c>
      <c r="I2" s="597" t="s">
        <v>227</v>
      </c>
      <c r="J2" s="597" t="s">
        <v>209</v>
      </c>
      <c r="K2" s="597" t="s">
        <v>193</v>
      </c>
      <c r="L2" s="597" t="s">
        <v>192</v>
      </c>
      <c r="M2" s="597" t="s">
        <v>194</v>
      </c>
      <c r="N2" s="597" t="s">
        <v>138</v>
      </c>
      <c r="O2" s="590" t="s">
        <v>139</v>
      </c>
      <c r="P2" s="590" t="s">
        <v>195</v>
      </c>
      <c r="Q2" s="590" t="s">
        <v>196</v>
      </c>
      <c r="R2" s="590" t="s">
        <v>140</v>
      </c>
      <c r="S2" s="590" t="s">
        <v>130</v>
      </c>
      <c r="T2" s="590" t="s">
        <v>197</v>
      </c>
      <c r="U2" s="590" t="s">
        <v>198</v>
      </c>
      <c r="V2" s="592" t="s">
        <v>189</v>
      </c>
      <c r="W2" s="594"/>
      <c r="X2" s="594"/>
      <c r="Y2" s="594"/>
      <c r="Z2" s="594"/>
      <c r="AA2" s="594"/>
      <c r="AB2" s="594"/>
      <c r="AC2" s="594"/>
      <c r="AD2" s="594"/>
      <c r="AE2" s="594"/>
      <c r="AF2" s="594"/>
      <c r="AG2" s="594"/>
      <c r="AH2" s="594"/>
      <c r="AI2" s="595" t="s">
        <v>141</v>
      </c>
      <c r="AJ2" s="595"/>
      <c r="AK2" s="595" t="s">
        <v>142</v>
      </c>
      <c r="AL2" s="595"/>
      <c r="AM2" s="595"/>
      <c r="AN2" s="595"/>
      <c r="AO2" s="595"/>
      <c r="AP2" s="595"/>
      <c r="AQ2" s="595"/>
      <c r="AR2" s="595"/>
      <c r="AS2" s="595"/>
      <c r="AT2" s="595"/>
      <c r="AU2" s="595"/>
      <c r="AV2" s="596" t="s">
        <v>142</v>
      </c>
      <c r="AW2" s="595"/>
      <c r="AX2" s="321"/>
      <c r="AY2" s="322"/>
      <c r="AZ2" s="573" t="s">
        <v>143</v>
      </c>
      <c r="BA2" s="573"/>
      <c r="BB2" s="575" t="s">
        <v>144</v>
      </c>
      <c r="BC2" s="207"/>
      <c r="BD2" s="207"/>
    </row>
    <row r="3" spans="1:56" ht="57" thickBot="1">
      <c r="A3" s="604"/>
      <c r="B3" s="606"/>
      <c r="C3" s="598"/>
      <c r="D3" s="598"/>
      <c r="E3" s="591"/>
      <c r="F3" s="591"/>
      <c r="G3" s="598"/>
      <c r="H3" s="598"/>
      <c r="I3" s="598"/>
      <c r="J3" s="598"/>
      <c r="K3" s="598"/>
      <c r="L3" s="598"/>
      <c r="M3" s="598"/>
      <c r="N3" s="598"/>
      <c r="O3" s="591"/>
      <c r="P3" s="591"/>
      <c r="Q3" s="591"/>
      <c r="R3" s="591"/>
      <c r="S3" s="591"/>
      <c r="T3" s="591"/>
      <c r="U3" s="591"/>
      <c r="V3" s="593"/>
      <c r="W3" s="213" t="s">
        <v>146</v>
      </c>
      <c r="X3" s="213" t="s">
        <v>145</v>
      </c>
      <c r="Y3" s="213" t="s">
        <v>257</v>
      </c>
      <c r="Z3" s="213" t="s">
        <v>145</v>
      </c>
      <c r="AA3" s="323" t="s">
        <v>10</v>
      </c>
      <c r="AB3" s="214" t="s">
        <v>10</v>
      </c>
      <c r="AC3" s="213" t="s">
        <v>147</v>
      </c>
      <c r="AD3" s="213" t="s">
        <v>145</v>
      </c>
      <c r="AE3" s="213" t="s">
        <v>148</v>
      </c>
      <c r="AF3" s="213" t="s">
        <v>145</v>
      </c>
      <c r="AG3" s="323" t="s">
        <v>10</v>
      </c>
      <c r="AH3" s="324"/>
      <c r="AI3" s="214" t="s">
        <v>10</v>
      </c>
      <c r="AJ3" s="214" t="s">
        <v>149</v>
      </c>
      <c r="AK3" s="213" t="s">
        <v>150</v>
      </c>
      <c r="AL3" s="213" t="s">
        <v>145</v>
      </c>
      <c r="AM3" s="213" t="s">
        <v>151</v>
      </c>
      <c r="AN3" s="213" t="s">
        <v>145</v>
      </c>
      <c r="AO3" s="213" t="s">
        <v>10</v>
      </c>
      <c r="AP3" s="324" t="s">
        <v>10</v>
      </c>
      <c r="AQ3" s="213" t="s">
        <v>152</v>
      </c>
      <c r="AR3" s="213" t="s">
        <v>145</v>
      </c>
      <c r="AS3" s="213" t="s">
        <v>153</v>
      </c>
      <c r="AT3" s="213" t="s">
        <v>145</v>
      </c>
      <c r="AU3" s="213" t="s">
        <v>10</v>
      </c>
      <c r="AV3" s="325" t="s">
        <v>154</v>
      </c>
      <c r="AW3" s="326" t="s">
        <v>155</v>
      </c>
      <c r="AX3" s="215" t="s">
        <v>156</v>
      </c>
      <c r="AY3" s="213" t="s">
        <v>157</v>
      </c>
      <c r="AZ3" s="574"/>
      <c r="BA3" s="574"/>
      <c r="BB3" s="576"/>
      <c r="BC3" s="265"/>
      <c r="BD3" s="265"/>
    </row>
    <row r="4" spans="1:56" ht="11.25" customHeight="1">
      <c r="A4" s="273" t="e">
        <f>#REF!</f>
        <v>#REF!</v>
      </c>
      <c r="B4" s="268" t="s">
        <v>158</v>
      </c>
      <c r="C4" s="266" t="e">
        <f>#REF!</f>
        <v>#REF!</v>
      </c>
      <c r="D4" s="266" t="s">
        <v>159</v>
      </c>
      <c r="E4" s="271" t="e">
        <f>#REF!</f>
        <v>#REF!</v>
      </c>
      <c r="F4" s="271" t="e">
        <f>#REF!</f>
        <v>#REF!</v>
      </c>
      <c r="G4" s="267" t="s">
        <v>161</v>
      </c>
      <c r="H4" s="268" t="e">
        <f>#REF!-#REF!-#REF!-#REF!-#REF!-#REF!</f>
        <v>#REF!</v>
      </c>
      <c r="I4" s="269">
        <v>0</v>
      </c>
      <c r="J4" s="268" t="e">
        <f aca="true" t="shared" si="0" ref="J4:J33">ROUND((H4-I4),0)</f>
        <v>#REF!</v>
      </c>
      <c r="K4" s="268" t="e">
        <f>#REF!+#REF!</f>
        <v>#REF!</v>
      </c>
      <c r="L4" s="268" t="e">
        <f>+#REF!</f>
        <v>#REF!</v>
      </c>
      <c r="M4" s="268" t="e">
        <f>#REF!+#REF!</f>
        <v>#REF!</v>
      </c>
      <c r="N4" s="270" t="e">
        <f aca="true" t="shared" si="1" ref="N4:N33">ROUND((I4+M4+L4+K4),0)</f>
        <v>#REF!</v>
      </c>
      <c r="O4" s="268" t="e">
        <f>ROUND((J4*30%),0)</f>
        <v>#REF!</v>
      </c>
      <c r="P4" s="268" t="e">
        <f>H4-IF(N4&lt;O4,N4,O4)</f>
        <v>#REF!</v>
      </c>
      <c r="Q4" s="268" t="e">
        <f>IF(P4*25%&lt;6252000,P4*25%,6252000)</f>
        <v>#REF!</v>
      </c>
      <c r="R4" s="268" t="e">
        <f aca="true" t="shared" si="2" ref="R4:R33">IF(Q4&lt;((240*UVT)*12),P4-Q4,P4-((240*UVT)*12))</f>
        <v>#REF!</v>
      </c>
      <c r="S4" s="268" t="e">
        <f>ROUND((R4),0)</f>
        <v>#REF!</v>
      </c>
      <c r="T4" s="271" t="e">
        <f>#REF!</f>
        <v>#REF!</v>
      </c>
      <c r="U4" s="272" t="e">
        <f>ROUND((S4/T4*30),0)</f>
        <v>#REF!</v>
      </c>
      <c r="V4" s="377">
        <f>(2078800)/12</f>
        <v>173233.33333333334</v>
      </c>
      <c r="W4" s="216">
        <f>6958810+3324300</f>
        <v>10283110</v>
      </c>
      <c r="X4" s="216" t="s">
        <v>160</v>
      </c>
      <c r="Y4" s="216"/>
      <c r="Z4" s="216"/>
      <c r="AA4" s="216">
        <f aca="true" t="shared" si="3" ref="AA4:AA31">+W4+Y4</f>
        <v>10283110</v>
      </c>
      <c r="AB4" s="217">
        <f>(AA4/12)</f>
        <v>856925.8333333334</v>
      </c>
      <c r="AC4" s="216">
        <f>1837000</f>
        <v>1837000</v>
      </c>
      <c r="AD4" s="216" t="s">
        <v>254</v>
      </c>
      <c r="AE4" s="216"/>
      <c r="AF4" s="216"/>
      <c r="AG4" s="216">
        <f aca="true" t="shared" si="4" ref="AG4:AG32">+AC4+AE4</f>
        <v>1837000</v>
      </c>
      <c r="AH4" s="217">
        <f>(AG4/10)</f>
        <v>183700</v>
      </c>
      <c r="AI4" s="217">
        <f>(AB4+AH4)</f>
        <v>1040625.8333333334</v>
      </c>
      <c r="AJ4" s="221">
        <v>543869</v>
      </c>
      <c r="AK4" s="216">
        <v>0</v>
      </c>
      <c r="AL4" s="216"/>
      <c r="AM4" s="216"/>
      <c r="AN4" s="216"/>
      <c r="AO4" s="216">
        <f aca="true" t="shared" si="5" ref="AO4:AO31">+AK4+AM4</f>
        <v>0</v>
      </c>
      <c r="AP4" s="218">
        <f>(AO4/12)</f>
        <v>0</v>
      </c>
      <c r="AQ4" s="216"/>
      <c r="AR4" s="216"/>
      <c r="AS4" s="216"/>
      <c r="AT4" s="216"/>
      <c r="AU4" s="216"/>
      <c r="AV4" s="219">
        <f>AP4+AU4</f>
        <v>0</v>
      </c>
      <c r="AW4" s="217">
        <f aca="true" t="shared" si="6" ref="AW4:AW33">(100*rangos)-100</f>
        <v>2684000</v>
      </c>
      <c r="AX4" s="220">
        <f>IF(AI4&gt;=AJ4,AJ4,AI4)</f>
        <v>543869</v>
      </c>
      <c r="AY4" s="216" t="e">
        <f>ROUND((U4*30%),0)</f>
        <v>#REF!</v>
      </c>
      <c r="AZ4" s="216" t="e">
        <f>IF(BA4&lt;115607000,(U4-AJ4-AV4),(U4-AV4))-V4</f>
        <v>#REF!</v>
      </c>
      <c r="BA4" s="319" t="e">
        <f>S4</f>
        <v>#REF!</v>
      </c>
      <c r="BB4" s="320">
        <f aca="true" t="shared" si="7" ref="BB4:BB33">IF((AI4&gt;AJ4),(AJ4+AV4),(AI4+AV4))</f>
        <v>543869</v>
      </c>
      <c r="BC4" s="207"/>
      <c r="BD4" s="207"/>
    </row>
    <row r="5" spans="1:56" ht="11.25">
      <c r="A5" s="273" t="e">
        <f>#REF!</f>
        <v>#REF!</v>
      </c>
      <c r="B5" s="268" t="s">
        <v>158</v>
      </c>
      <c r="C5" s="266" t="e">
        <f>#REF!</f>
        <v>#REF!</v>
      </c>
      <c r="D5" s="266" t="s">
        <v>117</v>
      </c>
      <c r="E5" s="271" t="e">
        <f>#REF!</f>
        <v>#REF!</v>
      </c>
      <c r="F5" s="271" t="e">
        <f>#REF!</f>
        <v>#REF!</v>
      </c>
      <c r="G5" s="267" t="s">
        <v>161</v>
      </c>
      <c r="H5" s="268" t="e">
        <f>#REF!-#REF!-#REF!-#REF!-#REF!-#REF!</f>
        <v>#REF!</v>
      </c>
      <c r="I5" s="269">
        <v>0</v>
      </c>
      <c r="J5" s="268" t="e">
        <f t="shared" si="0"/>
        <v>#REF!</v>
      </c>
      <c r="K5" s="268" t="e">
        <f>#REF!+#REF!</f>
        <v>#REF!</v>
      </c>
      <c r="L5" s="268" t="e">
        <f>+#REF!</f>
        <v>#REF!</v>
      </c>
      <c r="M5" s="268" t="e">
        <f>#REF!+#REF!</f>
        <v>#REF!</v>
      </c>
      <c r="N5" s="270" t="e">
        <f t="shared" si="1"/>
        <v>#REF!</v>
      </c>
      <c r="O5" s="268" t="e">
        <f aca="true" t="shared" si="8" ref="O5:O33">ROUND((J5*30%),0)</f>
        <v>#REF!</v>
      </c>
      <c r="P5" s="268" t="e">
        <f aca="true" t="shared" si="9" ref="P5:P33">H5-IF(N5&lt;O5,N5,O5)</f>
        <v>#REF!</v>
      </c>
      <c r="Q5" s="268" t="e">
        <f aca="true" t="shared" si="10" ref="Q5:Q33">IF(P5*25%&lt;6252000,P5*25%,6252000)</f>
        <v>#REF!</v>
      </c>
      <c r="R5" s="268" t="e">
        <f t="shared" si="2"/>
        <v>#REF!</v>
      </c>
      <c r="S5" s="268" t="e">
        <f aca="true" t="shared" si="11" ref="S5:S33">ROUND((R5),0)</f>
        <v>#REF!</v>
      </c>
      <c r="T5" s="271">
        <v>30</v>
      </c>
      <c r="U5" s="272" t="e">
        <f aca="true" t="shared" si="12" ref="U5:U33">ROUND((S5/T5*30),0)</f>
        <v>#REF!</v>
      </c>
      <c r="V5" s="377">
        <f>(1777400)/12</f>
        <v>148116.66666666666</v>
      </c>
      <c r="W5" s="216">
        <v>0</v>
      </c>
      <c r="X5" s="216"/>
      <c r="Y5" s="216"/>
      <c r="Z5" s="216"/>
      <c r="AA5" s="216">
        <f t="shared" si="3"/>
        <v>0</v>
      </c>
      <c r="AB5" s="217">
        <f aca="true" t="shared" si="13" ref="AB5:AB33">(AA5/12)</f>
        <v>0</v>
      </c>
      <c r="AC5" s="216">
        <v>0</v>
      </c>
      <c r="AD5" s="216"/>
      <c r="AE5" s="216"/>
      <c r="AF5" s="216"/>
      <c r="AG5" s="216">
        <f t="shared" si="4"/>
        <v>0</v>
      </c>
      <c r="AH5" s="217">
        <f aca="true" t="shared" si="14" ref="AH5:AH33">(AG5/10)</f>
        <v>0</v>
      </c>
      <c r="AI5" s="217">
        <f aca="true" t="shared" si="15" ref="AI5:AI33">(AB5+AH5)</f>
        <v>0</v>
      </c>
      <c r="AJ5" s="221">
        <v>0</v>
      </c>
      <c r="AK5" s="216">
        <v>0</v>
      </c>
      <c r="AL5" s="216"/>
      <c r="AM5" s="216"/>
      <c r="AN5" s="216"/>
      <c r="AO5" s="216">
        <f t="shared" si="5"/>
        <v>0</v>
      </c>
      <c r="AP5" s="218">
        <f aca="true" t="shared" si="16" ref="AP5:AP33">(AO5/12)</f>
        <v>0</v>
      </c>
      <c r="AQ5" s="216"/>
      <c r="AR5" s="216"/>
      <c r="AS5" s="216"/>
      <c r="AT5" s="216"/>
      <c r="AU5" s="216"/>
      <c r="AV5" s="219">
        <f aca="true" t="shared" si="17" ref="AV5:AV32">AP5+AU5</f>
        <v>0</v>
      </c>
      <c r="AW5" s="217">
        <f t="shared" si="6"/>
        <v>2684000</v>
      </c>
      <c r="AX5" s="220">
        <f aca="true" t="shared" si="18" ref="AX5:AX33">IF(AI5&gt;=AJ5,AJ5,AI5)</f>
        <v>0</v>
      </c>
      <c r="AY5" s="216" t="e">
        <f aca="true" t="shared" si="19" ref="AY5:AY32">ROUND((U5*30%),0)</f>
        <v>#REF!</v>
      </c>
      <c r="AZ5" s="216" t="e">
        <f aca="true" t="shared" si="20" ref="AZ5:AZ32">IF(BA5&lt;115607000,(U5-AJ5-AV5),(U5-AV5))-V5</f>
        <v>#REF!</v>
      </c>
      <c r="BA5" s="319" t="e">
        <f aca="true" t="shared" si="21" ref="BA5:BA32">S5</f>
        <v>#REF!</v>
      </c>
      <c r="BB5" s="320">
        <f t="shared" si="7"/>
        <v>0</v>
      </c>
      <c r="BC5" s="207"/>
      <c r="BD5" s="207"/>
    </row>
    <row r="6" spans="1:56" ht="11.25">
      <c r="A6" s="273" t="e">
        <f>#REF!</f>
        <v>#REF!</v>
      </c>
      <c r="B6" s="268" t="s">
        <v>158</v>
      </c>
      <c r="C6" s="266" t="e">
        <f>#REF!</f>
        <v>#REF!</v>
      </c>
      <c r="D6" s="274" t="s">
        <v>164</v>
      </c>
      <c r="E6" s="271" t="e">
        <f>#REF!</f>
        <v>#REF!</v>
      </c>
      <c r="F6" s="271" t="e">
        <f>#REF!</f>
        <v>#REF!</v>
      </c>
      <c r="G6" s="267" t="s">
        <v>166</v>
      </c>
      <c r="H6" s="268" t="e">
        <f>#REF!-#REF!-#REF!-#REF!-#REF!-#REF!</f>
        <v>#REF!</v>
      </c>
      <c r="I6" s="269">
        <v>0</v>
      </c>
      <c r="J6" s="268" t="e">
        <f t="shared" si="0"/>
        <v>#REF!</v>
      </c>
      <c r="K6" s="268" t="e">
        <f>#REF!+#REF!</f>
        <v>#REF!</v>
      </c>
      <c r="L6" s="268" t="e">
        <f>+#REF!</f>
        <v>#REF!</v>
      </c>
      <c r="M6" s="268" t="e">
        <f>#REF!+#REF!</f>
        <v>#REF!</v>
      </c>
      <c r="N6" s="270" t="e">
        <f t="shared" si="1"/>
        <v>#REF!</v>
      </c>
      <c r="O6" s="268" t="e">
        <f t="shared" si="8"/>
        <v>#REF!</v>
      </c>
      <c r="P6" s="268" t="e">
        <f t="shared" si="9"/>
        <v>#REF!</v>
      </c>
      <c r="Q6" s="268" t="e">
        <f t="shared" si="10"/>
        <v>#REF!</v>
      </c>
      <c r="R6" s="268" t="e">
        <f t="shared" si="2"/>
        <v>#REF!</v>
      </c>
      <c r="S6" s="268" t="e">
        <f t="shared" si="11"/>
        <v>#REF!</v>
      </c>
      <c r="T6" s="271" t="e">
        <f>#REF!</f>
        <v>#REF!</v>
      </c>
      <c r="U6" s="272" t="e">
        <f t="shared" si="12"/>
        <v>#REF!</v>
      </c>
      <c r="V6" s="377" t="e">
        <f>#REF!</f>
        <v>#REF!</v>
      </c>
      <c r="W6" s="216">
        <v>0</v>
      </c>
      <c r="X6" s="216"/>
      <c r="Y6" s="216"/>
      <c r="Z6" s="216"/>
      <c r="AA6" s="216">
        <f t="shared" si="3"/>
        <v>0</v>
      </c>
      <c r="AB6" s="217">
        <f t="shared" si="13"/>
        <v>0</v>
      </c>
      <c r="AC6" s="216">
        <v>0</v>
      </c>
      <c r="AD6" s="216"/>
      <c r="AE6" s="216"/>
      <c r="AF6" s="216"/>
      <c r="AG6" s="216">
        <f t="shared" si="4"/>
        <v>0</v>
      </c>
      <c r="AH6" s="217">
        <f t="shared" si="14"/>
        <v>0</v>
      </c>
      <c r="AI6" s="217">
        <f t="shared" si="15"/>
        <v>0</v>
      </c>
      <c r="AJ6" s="221">
        <v>0</v>
      </c>
      <c r="AK6" s="216">
        <v>0</v>
      </c>
      <c r="AL6" s="216"/>
      <c r="AM6" s="216"/>
      <c r="AN6" s="216"/>
      <c r="AO6" s="216">
        <f t="shared" si="5"/>
        <v>0</v>
      </c>
      <c r="AP6" s="218">
        <f t="shared" si="16"/>
        <v>0</v>
      </c>
      <c r="AQ6" s="216"/>
      <c r="AR6" s="216"/>
      <c r="AS6" s="216"/>
      <c r="AT6" s="216"/>
      <c r="AU6" s="216"/>
      <c r="AV6" s="219">
        <f t="shared" si="17"/>
        <v>0</v>
      </c>
      <c r="AW6" s="217">
        <f t="shared" si="6"/>
        <v>2684000</v>
      </c>
      <c r="AX6" s="220">
        <f t="shared" si="18"/>
        <v>0</v>
      </c>
      <c r="AY6" s="216" t="e">
        <f t="shared" si="19"/>
        <v>#REF!</v>
      </c>
      <c r="AZ6" s="216" t="e">
        <f t="shared" si="20"/>
        <v>#REF!</v>
      </c>
      <c r="BA6" s="319" t="e">
        <f t="shared" si="21"/>
        <v>#REF!</v>
      </c>
      <c r="BB6" s="320">
        <f t="shared" si="7"/>
        <v>0</v>
      </c>
      <c r="BC6" s="207"/>
      <c r="BD6" s="207"/>
    </row>
    <row r="7" spans="1:56" ht="11.25">
      <c r="A7" s="273" t="e">
        <f>#REF!</f>
        <v>#REF!</v>
      </c>
      <c r="B7" s="268" t="s">
        <v>158</v>
      </c>
      <c r="C7" s="266" t="e">
        <f>#REF!</f>
        <v>#REF!</v>
      </c>
      <c r="D7" s="266" t="s">
        <v>165</v>
      </c>
      <c r="E7" s="271" t="e">
        <f>#REF!</f>
        <v>#REF!</v>
      </c>
      <c r="F7" s="271" t="e">
        <f>#REF!</f>
        <v>#REF!</v>
      </c>
      <c r="G7" s="267" t="s">
        <v>166</v>
      </c>
      <c r="H7" s="268" t="e">
        <f>#REF!-#REF!-#REF!-#REF!-#REF!-#REF!</f>
        <v>#REF!</v>
      </c>
      <c r="I7" s="269">
        <v>0</v>
      </c>
      <c r="J7" s="268" t="e">
        <f t="shared" si="0"/>
        <v>#REF!</v>
      </c>
      <c r="K7" s="268" t="e">
        <f>#REF!+#REF!</f>
        <v>#REF!</v>
      </c>
      <c r="L7" s="268" t="e">
        <f>+#REF!</f>
        <v>#REF!</v>
      </c>
      <c r="M7" s="268" t="e">
        <f>#REF!+#REF!</f>
        <v>#REF!</v>
      </c>
      <c r="N7" s="270" t="e">
        <f t="shared" si="1"/>
        <v>#REF!</v>
      </c>
      <c r="O7" s="268" t="e">
        <f t="shared" si="8"/>
        <v>#REF!</v>
      </c>
      <c r="P7" s="268" t="e">
        <f t="shared" si="9"/>
        <v>#REF!</v>
      </c>
      <c r="Q7" s="268" t="e">
        <f t="shared" si="10"/>
        <v>#REF!</v>
      </c>
      <c r="R7" s="268" t="e">
        <f t="shared" si="2"/>
        <v>#REF!</v>
      </c>
      <c r="S7" s="268" t="e">
        <f t="shared" si="11"/>
        <v>#REF!</v>
      </c>
      <c r="T7" s="271" t="e">
        <f>#REF!</f>
        <v>#REF!</v>
      </c>
      <c r="U7" s="272" t="e">
        <f t="shared" si="12"/>
        <v>#REF!</v>
      </c>
      <c r="V7" s="377" t="e">
        <f>#REF!</f>
        <v>#REF!</v>
      </c>
      <c r="W7" s="216">
        <v>15995000</v>
      </c>
      <c r="X7" s="216" t="s">
        <v>160</v>
      </c>
      <c r="Y7" s="216"/>
      <c r="Z7" s="216"/>
      <c r="AA7" s="216">
        <f t="shared" si="3"/>
        <v>15995000</v>
      </c>
      <c r="AB7" s="217">
        <f t="shared" si="13"/>
        <v>1332916.6666666667</v>
      </c>
      <c r="AC7" s="216">
        <v>0</v>
      </c>
      <c r="AD7" s="216"/>
      <c r="AE7" s="216"/>
      <c r="AF7" s="216"/>
      <c r="AG7" s="216">
        <f t="shared" si="4"/>
        <v>0</v>
      </c>
      <c r="AH7" s="217">
        <f t="shared" si="14"/>
        <v>0</v>
      </c>
      <c r="AI7" s="217">
        <f t="shared" si="15"/>
        <v>1332916.6666666667</v>
      </c>
      <c r="AJ7" s="221">
        <v>769160</v>
      </c>
      <c r="AK7" s="216">
        <v>0</v>
      </c>
      <c r="AL7" s="216"/>
      <c r="AM7" s="216"/>
      <c r="AN7" s="216"/>
      <c r="AO7" s="216">
        <f t="shared" si="5"/>
        <v>0</v>
      </c>
      <c r="AP7" s="218">
        <f t="shared" si="16"/>
        <v>0</v>
      </c>
      <c r="AQ7" s="216"/>
      <c r="AR7" s="216"/>
      <c r="AS7" s="216"/>
      <c r="AT7" s="216"/>
      <c r="AU7" s="216"/>
      <c r="AV7" s="219">
        <f t="shared" si="17"/>
        <v>0</v>
      </c>
      <c r="AW7" s="217">
        <f t="shared" si="6"/>
        <v>2684000</v>
      </c>
      <c r="AX7" s="220">
        <f t="shared" si="18"/>
        <v>769160</v>
      </c>
      <c r="AY7" s="216" t="e">
        <f t="shared" si="19"/>
        <v>#REF!</v>
      </c>
      <c r="AZ7" s="216" t="e">
        <f t="shared" si="20"/>
        <v>#REF!</v>
      </c>
      <c r="BA7" s="319" t="e">
        <f t="shared" si="21"/>
        <v>#REF!</v>
      </c>
      <c r="BB7" s="320">
        <f t="shared" si="7"/>
        <v>769160</v>
      </c>
      <c r="BC7" s="207"/>
      <c r="BD7" s="207"/>
    </row>
    <row r="8" spans="1:56" ht="11.25">
      <c r="A8" s="273" t="e">
        <f>#REF!</f>
        <v>#REF!</v>
      </c>
      <c r="B8" s="268" t="s">
        <v>158</v>
      </c>
      <c r="C8" s="266" t="e">
        <f>#REF!</f>
        <v>#REF!</v>
      </c>
      <c r="D8" s="266" t="s">
        <v>118</v>
      </c>
      <c r="E8" s="271" t="e">
        <f>#REF!</f>
        <v>#REF!</v>
      </c>
      <c r="F8" s="271" t="e">
        <f>#REF!</f>
        <v>#REF!</v>
      </c>
      <c r="G8" s="267" t="s">
        <v>166</v>
      </c>
      <c r="H8" s="268" t="e">
        <f>#REF!-#REF!-#REF!-#REF!-#REF!-#REF!</f>
        <v>#REF!</v>
      </c>
      <c r="I8" s="269">
        <v>0</v>
      </c>
      <c r="J8" s="268" t="e">
        <f t="shared" si="0"/>
        <v>#REF!</v>
      </c>
      <c r="K8" s="268" t="e">
        <f>#REF!+#REF!</f>
        <v>#REF!</v>
      </c>
      <c r="L8" s="268" t="e">
        <f>+#REF!</f>
        <v>#REF!</v>
      </c>
      <c r="M8" s="268" t="e">
        <f>#REF!+#REF!</f>
        <v>#REF!</v>
      </c>
      <c r="N8" s="270" t="e">
        <f t="shared" si="1"/>
        <v>#REF!</v>
      </c>
      <c r="O8" s="268" t="e">
        <f t="shared" si="8"/>
        <v>#REF!</v>
      </c>
      <c r="P8" s="268" t="e">
        <f t="shared" si="9"/>
        <v>#REF!</v>
      </c>
      <c r="Q8" s="268" t="e">
        <f t="shared" si="10"/>
        <v>#REF!</v>
      </c>
      <c r="R8" s="268" t="e">
        <f t="shared" si="2"/>
        <v>#REF!</v>
      </c>
      <c r="S8" s="268" t="e">
        <f t="shared" si="11"/>
        <v>#REF!</v>
      </c>
      <c r="T8" s="271" t="e">
        <f>#REF!</f>
        <v>#REF!</v>
      </c>
      <c r="U8" s="272" t="e">
        <f t="shared" si="12"/>
        <v>#REF!</v>
      </c>
      <c r="V8" s="377" t="e">
        <f>#REF!</f>
        <v>#REF!</v>
      </c>
      <c r="W8" s="216"/>
      <c r="X8" s="216"/>
      <c r="Y8" s="216"/>
      <c r="Z8" s="216"/>
      <c r="AA8" s="216">
        <f>+W8+Y8</f>
        <v>0</v>
      </c>
      <c r="AB8" s="217">
        <f t="shared" si="13"/>
        <v>0</v>
      </c>
      <c r="AC8" s="216">
        <v>0</v>
      </c>
      <c r="AD8" s="216"/>
      <c r="AE8" s="216"/>
      <c r="AF8" s="216"/>
      <c r="AG8" s="216">
        <f>+AC8+AE8</f>
        <v>0</v>
      </c>
      <c r="AH8" s="217">
        <f t="shared" si="14"/>
        <v>0</v>
      </c>
      <c r="AI8" s="217">
        <f t="shared" si="15"/>
        <v>0</v>
      </c>
      <c r="AJ8" s="221"/>
      <c r="AK8" s="216">
        <v>0</v>
      </c>
      <c r="AL8" s="216"/>
      <c r="AM8" s="216"/>
      <c r="AN8" s="216"/>
      <c r="AO8" s="216">
        <f>+AK8+AM8</f>
        <v>0</v>
      </c>
      <c r="AP8" s="218">
        <f t="shared" si="16"/>
        <v>0</v>
      </c>
      <c r="AQ8" s="216"/>
      <c r="AR8" s="216"/>
      <c r="AS8" s="216"/>
      <c r="AT8" s="216"/>
      <c r="AU8" s="216"/>
      <c r="AV8" s="219">
        <f>AP8+AU8</f>
        <v>0</v>
      </c>
      <c r="AW8" s="217">
        <f t="shared" si="6"/>
        <v>2684000</v>
      </c>
      <c r="AX8" s="220">
        <f t="shared" si="18"/>
        <v>0</v>
      </c>
      <c r="AY8" s="216" t="e">
        <f>ROUND((U8*30%),0)</f>
        <v>#REF!</v>
      </c>
      <c r="AZ8" s="216" t="e">
        <f>IF(BA8&lt;115607000,(U8-AJ8-AV8),(U8-AV8))-V8</f>
        <v>#REF!</v>
      </c>
      <c r="BA8" s="319" t="e">
        <f>S8</f>
        <v>#REF!</v>
      </c>
      <c r="BB8" s="320">
        <f>IF((AI8&gt;AJ8),(AJ8+AV8),(AI8+AV8))</f>
        <v>0</v>
      </c>
      <c r="BC8" s="207"/>
      <c r="BD8" s="207"/>
    </row>
    <row r="9" spans="1:56" ht="11.25">
      <c r="A9" s="273" t="e">
        <f>#REF!</f>
        <v>#REF!</v>
      </c>
      <c r="B9" s="268" t="s">
        <v>158</v>
      </c>
      <c r="C9" s="266" t="e">
        <f>#REF!</f>
        <v>#REF!</v>
      </c>
      <c r="D9" s="266" t="s">
        <v>117</v>
      </c>
      <c r="E9" s="271" t="e">
        <f>#REF!</f>
        <v>#REF!</v>
      </c>
      <c r="F9" s="271" t="e">
        <f>#REF!</f>
        <v>#REF!</v>
      </c>
      <c r="G9" s="267" t="s">
        <v>161</v>
      </c>
      <c r="H9" s="268" t="e">
        <f>#REF!-#REF!-#REF!-#REF!-#REF!-#REF!</f>
        <v>#REF!</v>
      </c>
      <c r="I9" s="269">
        <v>0</v>
      </c>
      <c r="J9" s="268" t="e">
        <f t="shared" si="0"/>
        <v>#REF!</v>
      </c>
      <c r="K9" s="268" t="e">
        <f>#REF!+#REF!</f>
        <v>#REF!</v>
      </c>
      <c r="L9" s="268" t="e">
        <f>+#REF!</f>
        <v>#REF!</v>
      </c>
      <c r="M9" s="268" t="e">
        <f>#REF!+#REF!</f>
        <v>#REF!</v>
      </c>
      <c r="N9" s="270" t="e">
        <f t="shared" si="1"/>
        <v>#REF!</v>
      </c>
      <c r="O9" s="268" t="e">
        <f t="shared" si="8"/>
        <v>#REF!</v>
      </c>
      <c r="P9" s="268" t="e">
        <f t="shared" si="9"/>
        <v>#REF!</v>
      </c>
      <c r="Q9" s="268" t="e">
        <f t="shared" si="10"/>
        <v>#REF!</v>
      </c>
      <c r="R9" s="268" t="e">
        <f t="shared" si="2"/>
        <v>#REF!</v>
      </c>
      <c r="S9" s="268" t="e">
        <f t="shared" si="11"/>
        <v>#REF!</v>
      </c>
      <c r="T9" s="271" t="e">
        <f>#REF!</f>
        <v>#REF!</v>
      </c>
      <c r="U9" s="272" t="e">
        <f t="shared" si="12"/>
        <v>#REF!</v>
      </c>
      <c r="V9" s="377">
        <f>(1688800)/12</f>
        <v>140733.33333333334</v>
      </c>
      <c r="W9" s="216">
        <v>0</v>
      </c>
      <c r="X9" s="216"/>
      <c r="Y9" s="216"/>
      <c r="Z9" s="216"/>
      <c r="AA9" s="216">
        <f>+W9+Y9</f>
        <v>0</v>
      </c>
      <c r="AB9" s="217">
        <f t="shared" si="13"/>
        <v>0</v>
      </c>
      <c r="AC9" s="216">
        <v>0</v>
      </c>
      <c r="AD9" s="216"/>
      <c r="AE9" s="216"/>
      <c r="AF9" s="216"/>
      <c r="AG9" s="216">
        <f t="shared" si="4"/>
        <v>0</v>
      </c>
      <c r="AH9" s="217">
        <f t="shared" si="14"/>
        <v>0</v>
      </c>
      <c r="AI9" s="217">
        <f t="shared" si="15"/>
        <v>0</v>
      </c>
      <c r="AJ9" s="221">
        <v>0</v>
      </c>
      <c r="AK9" s="216">
        <v>0</v>
      </c>
      <c r="AL9" s="216"/>
      <c r="AM9" s="216"/>
      <c r="AN9" s="216"/>
      <c r="AO9" s="216">
        <f t="shared" si="5"/>
        <v>0</v>
      </c>
      <c r="AP9" s="218">
        <f t="shared" si="16"/>
        <v>0</v>
      </c>
      <c r="AQ9" s="216"/>
      <c r="AR9" s="216"/>
      <c r="AS9" s="216"/>
      <c r="AT9" s="216"/>
      <c r="AU9" s="216"/>
      <c r="AV9" s="219">
        <f t="shared" si="17"/>
        <v>0</v>
      </c>
      <c r="AW9" s="217">
        <f t="shared" si="6"/>
        <v>2684000</v>
      </c>
      <c r="AX9" s="220">
        <f t="shared" si="18"/>
        <v>0</v>
      </c>
      <c r="AY9" s="216" t="e">
        <f t="shared" si="19"/>
        <v>#REF!</v>
      </c>
      <c r="AZ9" s="216" t="e">
        <f t="shared" si="20"/>
        <v>#REF!</v>
      </c>
      <c r="BA9" s="319" t="e">
        <f t="shared" si="21"/>
        <v>#REF!</v>
      </c>
      <c r="BB9" s="320">
        <f t="shared" si="7"/>
        <v>0</v>
      </c>
      <c r="BC9" s="207"/>
      <c r="BD9" s="207"/>
    </row>
    <row r="10" spans="1:56" ht="11.25">
      <c r="A10" s="273" t="e">
        <f>#REF!</f>
        <v>#REF!</v>
      </c>
      <c r="B10" s="268" t="s">
        <v>158</v>
      </c>
      <c r="C10" s="266" t="e">
        <f>#REF!</f>
        <v>#REF!</v>
      </c>
      <c r="D10" s="266" t="s">
        <v>162</v>
      </c>
      <c r="E10" s="271" t="e">
        <f>#REF!</f>
        <v>#REF!</v>
      </c>
      <c r="F10" s="271" t="e">
        <f>#REF!</f>
        <v>#REF!</v>
      </c>
      <c r="G10" s="267" t="s">
        <v>161</v>
      </c>
      <c r="H10" s="268" t="e">
        <f>#REF!-#REF!-#REF!-#REF!-#REF!-#REF!</f>
        <v>#REF!</v>
      </c>
      <c r="I10" s="269">
        <v>0</v>
      </c>
      <c r="J10" s="268" t="e">
        <f t="shared" si="0"/>
        <v>#REF!</v>
      </c>
      <c r="K10" s="268" t="e">
        <f>#REF!+#REF!</f>
        <v>#REF!</v>
      </c>
      <c r="L10" s="268" t="e">
        <f>+#REF!</f>
        <v>#REF!</v>
      </c>
      <c r="M10" s="268" t="e">
        <f>#REF!+#REF!</f>
        <v>#REF!</v>
      </c>
      <c r="N10" s="270" t="e">
        <f t="shared" si="1"/>
        <v>#REF!</v>
      </c>
      <c r="O10" s="268" t="e">
        <f t="shared" si="8"/>
        <v>#REF!</v>
      </c>
      <c r="P10" s="268" t="e">
        <f t="shared" si="9"/>
        <v>#REF!</v>
      </c>
      <c r="Q10" s="268" t="e">
        <f t="shared" si="10"/>
        <v>#REF!</v>
      </c>
      <c r="R10" s="268" t="e">
        <f t="shared" si="2"/>
        <v>#REF!</v>
      </c>
      <c r="S10" s="268" t="e">
        <f t="shared" si="11"/>
        <v>#REF!</v>
      </c>
      <c r="T10" s="271" t="e">
        <f>#REF!</f>
        <v>#REF!</v>
      </c>
      <c r="U10" s="272" t="e">
        <f t="shared" si="12"/>
        <v>#REF!</v>
      </c>
      <c r="V10" s="377">
        <f>(1114800)/12</f>
        <v>92900</v>
      </c>
      <c r="W10" s="216">
        <v>0</v>
      </c>
      <c r="X10" s="216"/>
      <c r="Y10" s="216"/>
      <c r="Z10" s="216"/>
      <c r="AA10" s="216">
        <f t="shared" si="3"/>
        <v>0</v>
      </c>
      <c r="AB10" s="217">
        <f t="shared" si="13"/>
        <v>0</v>
      </c>
      <c r="AC10" s="216">
        <v>0</v>
      </c>
      <c r="AD10" s="216"/>
      <c r="AE10" s="216"/>
      <c r="AF10" s="216"/>
      <c r="AG10" s="216">
        <f t="shared" si="4"/>
        <v>0</v>
      </c>
      <c r="AH10" s="217">
        <f t="shared" si="14"/>
        <v>0</v>
      </c>
      <c r="AI10" s="217">
        <f t="shared" si="15"/>
        <v>0</v>
      </c>
      <c r="AJ10" s="221">
        <v>0</v>
      </c>
      <c r="AK10" s="216">
        <v>0</v>
      </c>
      <c r="AL10" s="216"/>
      <c r="AM10" s="216"/>
      <c r="AN10" s="216"/>
      <c r="AO10" s="216">
        <f t="shared" si="5"/>
        <v>0</v>
      </c>
      <c r="AP10" s="218">
        <f t="shared" si="16"/>
        <v>0</v>
      </c>
      <c r="AQ10" s="216"/>
      <c r="AR10" s="216"/>
      <c r="AS10" s="216"/>
      <c r="AT10" s="216"/>
      <c r="AU10" s="216"/>
      <c r="AV10" s="219">
        <f t="shared" si="17"/>
        <v>0</v>
      </c>
      <c r="AW10" s="217">
        <f t="shared" si="6"/>
        <v>2684000</v>
      </c>
      <c r="AX10" s="220">
        <f t="shared" si="18"/>
        <v>0</v>
      </c>
      <c r="AY10" s="216" t="e">
        <f t="shared" si="19"/>
        <v>#REF!</v>
      </c>
      <c r="AZ10" s="216" t="e">
        <f t="shared" si="20"/>
        <v>#REF!</v>
      </c>
      <c r="BA10" s="319" t="e">
        <f t="shared" si="21"/>
        <v>#REF!</v>
      </c>
      <c r="BB10" s="320">
        <f t="shared" si="7"/>
        <v>0</v>
      </c>
      <c r="BC10" s="207"/>
      <c r="BD10" s="207"/>
    </row>
    <row r="11" spans="1:56" ht="11.25" customHeight="1">
      <c r="A11" s="273" t="e">
        <f>#REF!</f>
        <v>#REF!</v>
      </c>
      <c r="B11" s="268" t="s">
        <v>158</v>
      </c>
      <c r="C11" s="266" t="e">
        <f>#REF!</f>
        <v>#REF!</v>
      </c>
      <c r="D11" s="266" t="s">
        <v>117</v>
      </c>
      <c r="E11" s="271" t="e">
        <f>#REF!</f>
        <v>#REF!</v>
      </c>
      <c r="F11" s="271" t="e">
        <f>#REF!</f>
        <v>#REF!</v>
      </c>
      <c r="G11" s="267" t="s">
        <v>161</v>
      </c>
      <c r="H11" s="268" t="e">
        <f>#REF!-#REF!-#REF!-#REF!-#REF!-#REF!</f>
        <v>#REF!</v>
      </c>
      <c r="I11" s="269">
        <v>0</v>
      </c>
      <c r="J11" s="268" t="e">
        <f t="shared" si="0"/>
        <v>#REF!</v>
      </c>
      <c r="K11" s="268" t="e">
        <f>#REF!+#REF!</f>
        <v>#REF!</v>
      </c>
      <c r="L11" s="268" t="e">
        <f>+#REF!</f>
        <v>#REF!</v>
      </c>
      <c r="M11" s="268" t="e">
        <f>#REF!+#REF!</f>
        <v>#REF!</v>
      </c>
      <c r="N11" s="270" t="e">
        <f t="shared" si="1"/>
        <v>#REF!</v>
      </c>
      <c r="O11" s="268" t="e">
        <f t="shared" si="8"/>
        <v>#REF!</v>
      </c>
      <c r="P11" s="268" t="e">
        <f t="shared" si="9"/>
        <v>#REF!</v>
      </c>
      <c r="Q11" s="268" t="e">
        <f t="shared" si="10"/>
        <v>#REF!</v>
      </c>
      <c r="R11" s="268" t="e">
        <f t="shared" si="2"/>
        <v>#REF!</v>
      </c>
      <c r="S11" s="268" t="e">
        <f t="shared" si="11"/>
        <v>#REF!</v>
      </c>
      <c r="T11" s="271" t="e">
        <f>#REF!</f>
        <v>#REF!</v>
      </c>
      <c r="U11" s="272" t="e">
        <f t="shared" si="12"/>
        <v>#REF!</v>
      </c>
      <c r="V11" s="377">
        <f>(1407000)/12</f>
        <v>117250</v>
      </c>
      <c r="W11" s="216">
        <v>0</v>
      </c>
      <c r="X11" s="216"/>
      <c r="Y11" s="216"/>
      <c r="Z11" s="216"/>
      <c r="AA11" s="216">
        <f t="shared" si="3"/>
        <v>0</v>
      </c>
      <c r="AB11" s="217">
        <f t="shared" si="13"/>
        <v>0</v>
      </c>
      <c r="AC11" s="216">
        <v>0</v>
      </c>
      <c r="AD11" s="216"/>
      <c r="AE11" s="216"/>
      <c r="AF11" s="216"/>
      <c r="AG11" s="216">
        <f t="shared" si="4"/>
        <v>0</v>
      </c>
      <c r="AH11" s="217">
        <f t="shared" si="14"/>
        <v>0</v>
      </c>
      <c r="AI11" s="217">
        <f t="shared" si="15"/>
        <v>0</v>
      </c>
      <c r="AJ11" s="221">
        <v>0</v>
      </c>
      <c r="AK11" s="216">
        <v>0</v>
      </c>
      <c r="AL11" s="216"/>
      <c r="AM11" s="216"/>
      <c r="AN11" s="216"/>
      <c r="AO11" s="216">
        <f t="shared" si="5"/>
        <v>0</v>
      </c>
      <c r="AP11" s="218">
        <f t="shared" si="16"/>
        <v>0</v>
      </c>
      <c r="AQ11" s="216"/>
      <c r="AR11" s="216"/>
      <c r="AS11" s="216"/>
      <c r="AT11" s="216"/>
      <c r="AU11" s="216"/>
      <c r="AV11" s="219">
        <f t="shared" si="17"/>
        <v>0</v>
      </c>
      <c r="AW11" s="217">
        <f t="shared" si="6"/>
        <v>2684000</v>
      </c>
      <c r="AX11" s="220">
        <f t="shared" si="18"/>
        <v>0</v>
      </c>
      <c r="AY11" s="216" t="e">
        <f t="shared" si="19"/>
        <v>#REF!</v>
      </c>
      <c r="AZ11" s="216" t="e">
        <f t="shared" si="20"/>
        <v>#REF!</v>
      </c>
      <c r="BA11" s="319" t="e">
        <f t="shared" si="21"/>
        <v>#REF!</v>
      </c>
      <c r="BB11" s="320">
        <f t="shared" si="7"/>
        <v>0</v>
      </c>
      <c r="BC11" s="207"/>
      <c r="BD11" s="207"/>
    </row>
    <row r="12" spans="1:56" ht="11.25">
      <c r="A12" s="273" t="e">
        <f>#REF!</f>
        <v>#REF!</v>
      </c>
      <c r="B12" s="268" t="s">
        <v>158</v>
      </c>
      <c r="C12" s="266" t="e">
        <f>#REF!</f>
        <v>#REF!</v>
      </c>
      <c r="D12" s="266" t="s">
        <v>159</v>
      </c>
      <c r="E12" s="271" t="e">
        <f>#REF!</f>
        <v>#REF!</v>
      </c>
      <c r="F12" s="271" t="e">
        <f>#REF!</f>
        <v>#REF!</v>
      </c>
      <c r="G12" s="267" t="s">
        <v>161</v>
      </c>
      <c r="H12" s="268" t="e">
        <f>#REF!-#REF!-#REF!-#REF!-#REF!-#REF!</f>
        <v>#REF!</v>
      </c>
      <c r="I12" s="269">
        <v>0</v>
      </c>
      <c r="J12" s="268" t="e">
        <f t="shared" si="0"/>
        <v>#REF!</v>
      </c>
      <c r="K12" s="268" t="e">
        <f>#REF!+#REF!</f>
        <v>#REF!</v>
      </c>
      <c r="L12" s="268" t="e">
        <f>+#REF!</f>
        <v>#REF!</v>
      </c>
      <c r="M12" s="268" t="e">
        <f>#REF!+#REF!</f>
        <v>#REF!</v>
      </c>
      <c r="N12" s="270" t="e">
        <f t="shared" si="1"/>
        <v>#REF!</v>
      </c>
      <c r="O12" s="268" t="e">
        <f t="shared" si="8"/>
        <v>#REF!</v>
      </c>
      <c r="P12" s="268" t="e">
        <f t="shared" si="9"/>
        <v>#REF!</v>
      </c>
      <c r="Q12" s="268" t="e">
        <f t="shared" si="10"/>
        <v>#REF!</v>
      </c>
      <c r="R12" s="268" t="e">
        <f t="shared" si="2"/>
        <v>#REF!</v>
      </c>
      <c r="S12" s="268" t="e">
        <f t="shared" si="11"/>
        <v>#REF!</v>
      </c>
      <c r="T12" s="271" t="e">
        <f>#REF!</f>
        <v>#REF!</v>
      </c>
      <c r="U12" s="272" t="e">
        <f t="shared" si="12"/>
        <v>#REF!</v>
      </c>
      <c r="V12" s="377">
        <f>(2003900)/12</f>
        <v>166991.66666666666</v>
      </c>
      <c r="W12" s="216">
        <v>5275000</v>
      </c>
      <c r="X12" s="216" t="s">
        <v>160</v>
      </c>
      <c r="Y12" s="216"/>
      <c r="Z12" s="216"/>
      <c r="AA12" s="216">
        <f t="shared" si="3"/>
        <v>5275000</v>
      </c>
      <c r="AB12" s="217">
        <f t="shared" si="13"/>
        <v>439583.3333333333</v>
      </c>
      <c r="AC12" s="216">
        <v>1753620</v>
      </c>
      <c r="AD12" s="216" t="s">
        <v>160</v>
      </c>
      <c r="AE12" s="216"/>
      <c r="AF12" s="216"/>
      <c r="AG12" s="216">
        <f t="shared" si="4"/>
        <v>1753620</v>
      </c>
      <c r="AH12" s="217">
        <f t="shared" si="14"/>
        <v>175362</v>
      </c>
      <c r="AI12" s="217">
        <f t="shared" si="15"/>
        <v>614945.3333333333</v>
      </c>
      <c r="AJ12" s="221">
        <v>517268</v>
      </c>
      <c r="AK12" s="216">
        <v>0</v>
      </c>
      <c r="AL12" s="216"/>
      <c r="AM12" s="216"/>
      <c r="AN12" s="216"/>
      <c r="AO12" s="216">
        <f t="shared" si="5"/>
        <v>0</v>
      </c>
      <c r="AP12" s="218">
        <f t="shared" si="16"/>
        <v>0</v>
      </c>
      <c r="AQ12" s="216"/>
      <c r="AR12" s="216"/>
      <c r="AS12" s="216"/>
      <c r="AT12" s="216"/>
      <c r="AU12" s="216"/>
      <c r="AV12" s="219">
        <f t="shared" si="17"/>
        <v>0</v>
      </c>
      <c r="AW12" s="217">
        <f t="shared" si="6"/>
        <v>2684000</v>
      </c>
      <c r="AX12" s="220">
        <f t="shared" si="18"/>
        <v>517268</v>
      </c>
      <c r="AY12" s="216" t="e">
        <f t="shared" si="19"/>
        <v>#REF!</v>
      </c>
      <c r="AZ12" s="216" t="e">
        <f t="shared" si="20"/>
        <v>#REF!</v>
      </c>
      <c r="BA12" s="319" t="e">
        <f t="shared" si="21"/>
        <v>#REF!</v>
      </c>
      <c r="BB12" s="320">
        <f t="shared" si="7"/>
        <v>517268</v>
      </c>
      <c r="BC12" s="207"/>
      <c r="BD12" s="207"/>
    </row>
    <row r="13" spans="1:56" ht="11.25" customHeight="1">
      <c r="A13" s="273" t="e">
        <f>#REF!</f>
        <v>#REF!</v>
      </c>
      <c r="B13" s="268" t="s">
        <v>158</v>
      </c>
      <c r="C13" s="266" t="e">
        <f>#REF!</f>
        <v>#REF!</v>
      </c>
      <c r="D13" s="266" t="s">
        <v>118</v>
      </c>
      <c r="E13" s="271" t="e">
        <f>#REF!</f>
        <v>#REF!</v>
      </c>
      <c r="F13" s="271" t="e">
        <f>#REF!</f>
        <v>#REF!</v>
      </c>
      <c r="G13" s="267" t="s">
        <v>161</v>
      </c>
      <c r="H13" s="268" t="e">
        <f>#REF!-#REF!-#REF!-#REF!-#REF!-#REF!</f>
        <v>#REF!</v>
      </c>
      <c r="I13" s="269">
        <v>0</v>
      </c>
      <c r="J13" s="268" t="e">
        <f t="shared" si="0"/>
        <v>#REF!</v>
      </c>
      <c r="K13" s="268" t="e">
        <f>#REF!+#REF!</f>
        <v>#REF!</v>
      </c>
      <c r="L13" s="268" t="e">
        <f>+#REF!</f>
        <v>#REF!</v>
      </c>
      <c r="M13" s="268" t="e">
        <f>#REF!+#REF!</f>
        <v>#REF!</v>
      </c>
      <c r="N13" s="270" t="e">
        <f t="shared" si="1"/>
        <v>#REF!</v>
      </c>
      <c r="O13" s="268" t="e">
        <f t="shared" si="8"/>
        <v>#REF!</v>
      </c>
      <c r="P13" s="268" t="e">
        <f t="shared" si="9"/>
        <v>#REF!</v>
      </c>
      <c r="Q13" s="268" t="e">
        <f t="shared" si="10"/>
        <v>#REF!</v>
      </c>
      <c r="R13" s="268" t="e">
        <f t="shared" si="2"/>
        <v>#REF!</v>
      </c>
      <c r="S13" s="268" t="e">
        <f t="shared" si="11"/>
        <v>#REF!</v>
      </c>
      <c r="T13" s="271">
        <v>30</v>
      </c>
      <c r="U13" s="272" t="e">
        <f t="shared" si="12"/>
        <v>#REF!</v>
      </c>
      <c r="V13" s="377">
        <f>(3194100)/12</f>
        <v>266175</v>
      </c>
      <c r="W13" s="216">
        <v>9469805</v>
      </c>
      <c r="X13" s="216" t="s">
        <v>160</v>
      </c>
      <c r="Y13" s="216"/>
      <c r="Z13" s="216"/>
      <c r="AA13" s="216">
        <f t="shared" si="3"/>
        <v>9469805</v>
      </c>
      <c r="AB13" s="217">
        <f t="shared" si="13"/>
        <v>789150.4166666666</v>
      </c>
      <c r="AC13" s="216">
        <v>0</v>
      </c>
      <c r="AD13" s="216"/>
      <c r="AE13" s="216"/>
      <c r="AF13" s="216"/>
      <c r="AG13" s="216">
        <f t="shared" si="4"/>
        <v>0</v>
      </c>
      <c r="AH13" s="217">
        <f t="shared" si="14"/>
        <v>0</v>
      </c>
      <c r="AI13" s="217">
        <f t="shared" si="15"/>
        <v>789150.4166666666</v>
      </c>
      <c r="AJ13" s="221">
        <v>789150</v>
      </c>
      <c r="AK13" s="216">
        <v>0</v>
      </c>
      <c r="AL13" s="216"/>
      <c r="AM13" s="216"/>
      <c r="AN13" s="216"/>
      <c r="AO13" s="216">
        <f t="shared" si="5"/>
        <v>0</v>
      </c>
      <c r="AP13" s="218">
        <f t="shared" si="16"/>
        <v>0</v>
      </c>
      <c r="AQ13" s="216"/>
      <c r="AR13" s="216"/>
      <c r="AS13" s="216"/>
      <c r="AT13" s="216"/>
      <c r="AU13" s="216"/>
      <c r="AV13" s="219">
        <f t="shared" si="17"/>
        <v>0</v>
      </c>
      <c r="AW13" s="217">
        <f t="shared" si="6"/>
        <v>2684000</v>
      </c>
      <c r="AX13" s="220">
        <f t="shared" si="18"/>
        <v>789150</v>
      </c>
      <c r="AY13" s="216" t="e">
        <f t="shared" si="19"/>
        <v>#REF!</v>
      </c>
      <c r="AZ13" s="216" t="e">
        <f t="shared" si="20"/>
        <v>#REF!</v>
      </c>
      <c r="BA13" s="319" t="e">
        <f t="shared" si="21"/>
        <v>#REF!</v>
      </c>
      <c r="BB13" s="320">
        <f t="shared" si="7"/>
        <v>789150</v>
      </c>
      <c r="BC13" s="207"/>
      <c r="BD13" s="207"/>
    </row>
    <row r="14" spans="1:56" ht="11.25" customHeight="1">
      <c r="A14" s="273" t="e">
        <f>#REF!</f>
        <v>#REF!</v>
      </c>
      <c r="B14" s="268" t="s">
        <v>158</v>
      </c>
      <c r="C14" s="266" t="e">
        <f>#REF!</f>
        <v>#REF!</v>
      </c>
      <c r="D14" s="274" t="s">
        <v>164</v>
      </c>
      <c r="E14" s="271" t="e">
        <f>#REF!</f>
        <v>#REF!</v>
      </c>
      <c r="F14" s="271" t="e">
        <f>#REF!</f>
        <v>#REF!</v>
      </c>
      <c r="G14" s="267" t="s">
        <v>161</v>
      </c>
      <c r="H14" s="268" t="e">
        <f>#REF!-#REF!-#REF!-#REF!-#REF!-#REF!</f>
        <v>#REF!</v>
      </c>
      <c r="I14" s="269">
        <v>0</v>
      </c>
      <c r="J14" s="268" t="e">
        <f t="shared" si="0"/>
        <v>#REF!</v>
      </c>
      <c r="K14" s="268" t="e">
        <f>#REF!+#REF!</f>
        <v>#REF!</v>
      </c>
      <c r="L14" s="268" t="e">
        <f>+#REF!</f>
        <v>#REF!</v>
      </c>
      <c r="M14" s="268" t="e">
        <f>#REF!+#REF!</f>
        <v>#REF!</v>
      </c>
      <c r="N14" s="270" t="e">
        <f t="shared" si="1"/>
        <v>#REF!</v>
      </c>
      <c r="O14" s="268" t="e">
        <f t="shared" si="8"/>
        <v>#REF!</v>
      </c>
      <c r="P14" s="268" t="e">
        <f t="shared" si="9"/>
        <v>#REF!</v>
      </c>
      <c r="Q14" s="268" t="e">
        <f t="shared" si="10"/>
        <v>#REF!</v>
      </c>
      <c r="R14" s="268" t="e">
        <f t="shared" si="2"/>
        <v>#REF!</v>
      </c>
      <c r="S14" s="268" t="e">
        <f t="shared" si="11"/>
        <v>#REF!</v>
      </c>
      <c r="T14" s="271" t="e">
        <f>#REF!</f>
        <v>#REF!</v>
      </c>
      <c r="U14" s="272" t="e">
        <f t="shared" si="12"/>
        <v>#REF!</v>
      </c>
      <c r="V14" s="377">
        <f>(1024300)/12</f>
        <v>85358.33333333333</v>
      </c>
      <c r="W14" s="216">
        <v>0</v>
      </c>
      <c r="X14" s="216"/>
      <c r="Y14" s="216"/>
      <c r="Z14" s="216"/>
      <c r="AA14" s="216">
        <f>+W14+Y14</f>
        <v>0</v>
      </c>
      <c r="AB14" s="217">
        <f t="shared" si="13"/>
        <v>0</v>
      </c>
      <c r="AC14" s="216">
        <v>0</v>
      </c>
      <c r="AD14" s="216"/>
      <c r="AE14" s="216"/>
      <c r="AF14" s="216"/>
      <c r="AG14" s="216">
        <f t="shared" si="4"/>
        <v>0</v>
      </c>
      <c r="AH14" s="217">
        <f t="shared" si="14"/>
        <v>0</v>
      </c>
      <c r="AI14" s="217">
        <f t="shared" si="15"/>
        <v>0</v>
      </c>
      <c r="AJ14" s="221">
        <v>0</v>
      </c>
      <c r="AK14" s="216">
        <v>0</v>
      </c>
      <c r="AL14" s="216"/>
      <c r="AM14" s="216"/>
      <c r="AN14" s="216"/>
      <c r="AO14" s="216">
        <f t="shared" si="5"/>
        <v>0</v>
      </c>
      <c r="AP14" s="218">
        <f t="shared" si="16"/>
        <v>0</v>
      </c>
      <c r="AQ14" s="216"/>
      <c r="AR14" s="216"/>
      <c r="AS14" s="216"/>
      <c r="AT14" s="216"/>
      <c r="AU14" s="216"/>
      <c r="AV14" s="219">
        <f t="shared" si="17"/>
        <v>0</v>
      </c>
      <c r="AW14" s="217">
        <f t="shared" si="6"/>
        <v>2684000</v>
      </c>
      <c r="AX14" s="220">
        <f t="shared" si="18"/>
        <v>0</v>
      </c>
      <c r="AY14" s="216" t="e">
        <f t="shared" si="19"/>
        <v>#REF!</v>
      </c>
      <c r="AZ14" s="216" t="e">
        <f t="shared" si="20"/>
        <v>#REF!</v>
      </c>
      <c r="BA14" s="319" t="e">
        <f t="shared" si="21"/>
        <v>#REF!</v>
      </c>
      <c r="BB14" s="320">
        <f t="shared" si="7"/>
        <v>0</v>
      </c>
      <c r="BC14" s="207"/>
      <c r="BD14" s="207"/>
    </row>
    <row r="15" spans="1:56" ht="11.25">
      <c r="A15" s="273" t="e">
        <f>#REF!</f>
        <v>#REF!</v>
      </c>
      <c r="B15" s="268" t="s">
        <v>158</v>
      </c>
      <c r="C15" s="266" t="e">
        <f>#REF!</f>
        <v>#REF!</v>
      </c>
      <c r="D15" s="274" t="s">
        <v>165</v>
      </c>
      <c r="E15" s="271" t="e">
        <f>#REF!</f>
        <v>#REF!</v>
      </c>
      <c r="F15" s="271" t="e">
        <f>#REF!</f>
        <v>#REF!</v>
      </c>
      <c r="G15" s="267" t="s">
        <v>161</v>
      </c>
      <c r="H15" s="268" t="e">
        <f>#REF!-#REF!-#REF!-#REF!-#REF!-#REF!</f>
        <v>#REF!</v>
      </c>
      <c r="I15" s="269">
        <v>0</v>
      </c>
      <c r="J15" s="268" t="e">
        <f t="shared" si="0"/>
        <v>#REF!</v>
      </c>
      <c r="K15" s="268" t="e">
        <f>#REF!+#REF!</f>
        <v>#REF!</v>
      </c>
      <c r="L15" s="268" t="e">
        <f>+#REF!</f>
        <v>#REF!</v>
      </c>
      <c r="M15" s="268" t="e">
        <f>#REF!+#REF!</f>
        <v>#REF!</v>
      </c>
      <c r="N15" s="270" t="e">
        <f t="shared" si="1"/>
        <v>#REF!</v>
      </c>
      <c r="O15" s="268" t="e">
        <f t="shared" si="8"/>
        <v>#REF!</v>
      </c>
      <c r="P15" s="268" t="e">
        <f t="shared" si="9"/>
        <v>#REF!</v>
      </c>
      <c r="Q15" s="268" t="e">
        <f t="shared" si="10"/>
        <v>#REF!</v>
      </c>
      <c r="R15" s="268" t="e">
        <f t="shared" si="2"/>
        <v>#REF!</v>
      </c>
      <c r="S15" s="268" t="e">
        <f t="shared" si="11"/>
        <v>#REF!</v>
      </c>
      <c r="T15" s="271" t="e">
        <f>#REF!</f>
        <v>#REF!</v>
      </c>
      <c r="U15" s="272" t="e">
        <f t="shared" si="12"/>
        <v>#REF!</v>
      </c>
      <c r="V15" s="377">
        <f>(3027600)/12</f>
        <v>252300</v>
      </c>
      <c r="W15" s="216">
        <v>0</v>
      </c>
      <c r="X15" s="216"/>
      <c r="Y15" s="216"/>
      <c r="Z15" s="216"/>
      <c r="AA15" s="216">
        <f t="shared" si="3"/>
        <v>0</v>
      </c>
      <c r="AB15" s="217">
        <f t="shared" si="13"/>
        <v>0</v>
      </c>
      <c r="AC15" s="216">
        <v>0</v>
      </c>
      <c r="AD15" s="216"/>
      <c r="AE15" s="216"/>
      <c r="AF15" s="216"/>
      <c r="AG15" s="216">
        <f t="shared" si="4"/>
        <v>0</v>
      </c>
      <c r="AH15" s="217">
        <f t="shared" si="14"/>
        <v>0</v>
      </c>
      <c r="AI15" s="217">
        <f t="shared" si="15"/>
        <v>0</v>
      </c>
      <c r="AJ15" s="221">
        <v>0</v>
      </c>
      <c r="AK15" s="216">
        <v>20063553.88</v>
      </c>
      <c r="AL15" s="216" t="s">
        <v>255</v>
      </c>
      <c r="AM15" s="216"/>
      <c r="AN15" s="216"/>
      <c r="AO15" s="216">
        <f t="shared" si="5"/>
        <v>20063553.88</v>
      </c>
      <c r="AP15" s="218">
        <f t="shared" si="16"/>
        <v>1671962.8233333332</v>
      </c>
      <c r="AQ15" s="216"/>
      <c r="AR15" s="216"/>
      <c r="AS15" s="216"/>
      <c r="AT15" s="216"/>
      <c r="AU15" s="216"/>
      <c r="AV15" s="219">
        <f t="shared" si="17"/>
        <v>1671962.8233333332</v>
      </c>
      <c r="AW15" s="217">
        <f t="shared" si="6"/>
        <v>2684000</v>
      </c>
      <c r="AX15" s="220">
        <f t="shared" si="18"/>
        <v>0</v>
      </c>
      <c r="AY15" s="216" t="e">
        <f t="shared" si="19"/>
        <v>#REF!</v>
      </c>
      <c r="AZ15" s="216" t="e">
        <f t="shared" si="20"/>
        <v>#REF!</v>
      </c>
      <c r="BA15" s="319" t="e">
        <f t="shared" si="21"/>
        <v>#REF!</v>
      </c>
      <c r="BB15" s="320">
        <f t="shared" si="7"/>
        <v>1671962.8233333332</v>
      </c>
      <c r="BC15" s="207"/>
      <c r="BD15" s="207"/>
    </row>
    <row r="16" spans="1:56" ht="11.25">
      <c r="A16" s="273" t="e">
        <f>#REF!</f>
        <v>#REF!</v>
      </c>
      <c r="B16" s="268" t="s">
        <v>158</v>
      </c>
      <c r="C16" s="266" t="e">
        <f>#REF!</f>
        <v>#REF!</v>
      </c>
      <c r="D16" s="266" t="s">
        <v>159</v>
      </c>
      <c r="E16" s="271" t="e">
        <f>#REF!</f>
        <v>#REF!</v>
      </c>
      <c r="F16" s="271" t="e">
        <f>#REF!</f>
        <v>#REF!</v>
      </c>
      <c r="G16" s="267" t="s">
        <v>161</v>
      </c>
      <c r="H16" s="268" t="e">
        <f>#REF!-#REF!-#REF!-#REF!-#REF!-#REF!</f>
        <v>#REF!</v>
      </c>
      <c r="I16" s="269">
        <v>0</v>
      </c>
      <c r="J16" s="268" t="e">
        <f t="shared" si="0"/>
        <v>#REF!</v>
      </c>
      <c r="K16" s="268" t="e">
        <f>#REF!+#REF!</f>
        <v>#REF!</v>
      </c>
      <c r="L16" s="268" t="e">
        <f>+#REF!</f>
        <v>#REF!</v>
      </c>
      <c r="M16" s="268" t="e">
        <f>#REF!+#REF!</f>
        <v>#REF!</v>
      </c>
      <c r="N16" s="270" t="e">
        <f t="shared" si="1"/>
        <v>#REF!</v>
      </c>
      <c r="O16" s="268" t="e">
        <f t="shared" si="8"/>
        <v>#REF!</v>
      </c>
      <c r="P16" s="268" t="e">
        <f t="shared" si="9"/>
        <v>#REF!</v>
      </c>
      <c r="Q16" s="268" t="e">
        <f t="shared" si="10"/>
        <v>#REF!</v>
      </c>
      <c r="R16" s="268" t="e">
        <f t="shared" si="2"/>
        <v>#REF!</v>
      </c>
      <c r="S16" s="268" t="e">
        <f t="shared" si="11"/>
        <v>#REF!</v>
      </c>
      <c r="T16" s="271" t="e">
        <f>#REF!</f>
        <v>#REF!</v>
      </c>
      <c r="U16" s="272" t="e">
        <f t="shared" si="12"/>
        <v>#REF!</v>
      </c>
      <c r="V16" s="377">
        <f>(2082200/12)</f>
        <v>173516.66666666666</v>
      </c>
      <c r="W16" s="216">
        <v>4220000</v>
      </c>
      <c r="X16" s="216" t="s">
        <v>160</v>
      </c>
      <c r="Y16" s="216"/>
      <c r="Z16" s="216"/>
      <c r="AA16" s="216">
        <f t="shared" si="3"/>
        <v>4220000</v>
      </c>
      <c r="AB16" s="217">
        <f t="shared" si="13"/>
        <v>351666.6666666667</v>
      </c>
      <c r="AC16" s="216">
        <v>0</v>
      </c>
      <c r="AD16" s="216"/>
      <c r="AE16" s="216"/>
      <c r="AF16" s="216"/>
      <c r="AG16" s="216">
        <f t="shared" si="4"/>
        <v>0</v>
      </c>
      <c r="AH16" s="217">
        <f t="shared" si="14"/>
        <v>0</v>
      </c>
      <c r="AI16" s="217">
        <f t="shared" si="15"/>
        <v>351666.6666666667</v>
      </c>
      <c r="AJ16" s="221">
        <v>351667</v>
      </c>
      <c r="AK16" s="216">
        <v>0</v>
      </c>
      <c r="AL16" s="216"/>
      <c r="AM16" s="216"/>
      <c r="AN16" s="216"/>
      <c r="AO16" s="216">
        <f t="shared" si="5"/>
        <v>0</v>
      </c>
      <c r="AP16" s="218">
        <f t="shared" si="16"/>
        <v>0</v>
      </c>
      <c r="AQ16" s="216"/>
      <c r="AR16" s="216"/>
      <c r="AS16" s="216"/>
      <c r="AT16" s="216"/>
      <c r="AU16" s="216"/>
      <c r="AV16" s="219">
        <f t="shared" si="17"/>
        <v>0</v>
      </c>
      <c r="AW16" s="217">
        <f t="shared" si="6"/>
        <v>2684000</v>
      </c>
      <c r="AX16" s="220">
        <f t="shared" si="18"/>
        <v>351666.6666666667</v>
      </c>
      <c r="AY16" s="216" t="e">
        <f t="shared" si="19"/>
        <v>#REF!</v>
      </c>
      <c r="AZ16" s="216" t="e">
        <f t="shared" si="20"/>
        <v>#REF!</v>
      </c>
      <c r="BA16" s="319" t="e">
        <f t="shared" si="21"/>
        <v>#REF!</v>
      </c>
      <c r="BB16" s="320">
        <f t="shared" si="7"/>
        <v>351666.6666666667</v>
      </c>
      <c r="BC16" s="207"/>
      <c r="BD16" s="207"/>
    </row>
    <row r="17" spans="1:56" ht="11.25" customHeight="1">
      <c r="A17" s="273" t="e">
        <f>#REF!</f>
        <v>#REF!</v>
      </c>
      <c r="B17" s="268" t="s">
        <v>158</v>
      </c>
      <c r="C17" s="266" t="e">
        <f>#REF!</f>
        <v>#REF!</v>
      </c>
      <c r="D17" s="266" t="s">
        <v>159</v>
      </c>
      <c r="E17" s="271" t="e">
        <f>#REF!</f>
        <v>#REF!</v>
      </c>
      <c r="F17" s="271" t="e">
        <f>#REF!</f>
        <v>#REF!</v>
      </c>
      <c r="G17" s="267" t="s">
        <v>161</v>
      </c>
      <c r="H17" s="268" t="e">
        <f>#REF!-#REF!-#REF!-#REF!-#REF!-#REF!</f>
        <v>#REF!</v>
      </c>
      <c r="I17" s="269">
        <v>0</v>
      </c>
      <c r="J17" s="268" t="e">
        <f t="shared" si="0"/>
        <v>#REF!</v>
      </c>
      <c r="K17" s="268" t="e">
        <f>#REF!+#REF!</f>
        <v>#REF!</v>
      </c>
      <c r="L17" s="268" t="e">
        <f>+#REF!</f>
        <v>#REF!</v>
      </c>
      <c r="M17" s="268" t="e">
        <f>#REF!+#REF!</f>
        <v>#REF!</v>
      </c>
      <c r="N17" s="270" t="e">
        <f t="shared" si="1"/>
        <v>#REF!</v>
      </c>
      <c r="O17" s="268" t="e">
        <f t="shared" si="8"/>
        <v>#REF!</v>
      </c>
      <c r="P17" s="268" t="e">
        <f t="shared" si="9"/>
        <v>#REF!</v>
      </c>
      <c r="Q17" s="268" t="e">
        <f t="shared" si="10"/>
        <v>#REF!</v>
      </c>
      <c r="R17" s="268" t="e">
        <f t="shared" si="2"/>
        <v>#REF!</v>
      </c>
      <c r="S17" s="268" t="e">
        <f t="shared" si="11"/>
        <v>#REF!</v>
      </c>
      <c r="T17" s="271">
        <v>30</v>
      </c>
      <c r="U17" s="272" t="e">
        <f t="shared" si="12"/>
        <v>#REF!</v>
      </c>
      <c r="V17" s="377">
        <f>(2059900)/12</f>
        <v>171658.33333333334</v>
      </c>
      <c r="W17" s="216">
        <v>0</v>
      </c>
      <c r="X17" s="216"/>
      <c r="Y17" s="216"/>
      <c r="Z17" s="216"/>
      <c r="AA17" s="216">
        <f>+W17+Y17</f>
        <v>0</v>
      </c>
      <c r="AB17" s="217">
        <f t="shared" si="13"/>
        <v>0</v>
      </c>
      <c r="AC17" s="216">
        <v>0</v>
      </c>
      <c r="AD17" s="216"/>
      <c r="AE17" s="216"/>
      <c r="AF17" s="216"/>
      <c r="AG17" s="216">
        <f t="shared" si="4"/>
        <v>0</v>
      </c>
      <c r="AH17" s="217">
        <f t="shared" si="14"/>
        <v>0</v>
      </c>
      <c r="AI17" s="217">
        <f t="shared" si="15"/>
        <v>0</v>
      </c>
      <c r="AJ17" s="221">
        <v>0</v>
      </c>
      <c r="AK17" s="216">
        <v>0</v>
      </c>
      <c r="AL17" s="216"/>
      <c r="AM17" s="216"/>
      <c r="AN17" s="216"/>
      <c r="AO17" s="216">
        <f t="shared" si="5"/>
        <v>0</v>
      </c>
      <c r="AP17" s="218">
        <f t="shared" si="16"/>
        <v>0</v>
      </c>
      <c r="AQ17" s="216"/>
      <c r="AR17" s="216"/>
      <c r="AS17" s="216"/>
      <c r="AT17" s="216"/>
      <c r="AU17" s="216"/>
      <c r="AV17" s="219">
        <f t="shared" si="17"/>
        <v>0</v>
      </c>
      <c r="AW17" s="217">
        <f t="shared" si="6"/>
        <v>2684000</v>
      </c>
      <c r="AX17" s="220">
        <f t="shared" si="18"/>
        <v>0</v>
      </c>
      <c r="AY17" s="216" t="e">
        <f t="shared" si="19"/>
        <v>#REF!</v>
      </c>
      <c r="AZ17" s="216" t="e">
        <f t="shared" si="20"/>
        <v>#REF!</v>
      </c>
      <c r="BA17" s="319" t="e">
        <f t="shared" si="21"/>
        <v>#REF!</v>
      </c>
      <c r="BB17" s="320">
        <f t="shared" si="7"/>
        <v>0</v>
      </c>
      <c r="BC17" s="207"/>
      <c r="BD17" s="207"/>
    </row>
    <row r="18" spans="1:56" ht="11.25" customHeight="1">
      <c r="A18" s="273" t="e">
        <f>#REF!</f>
        <v>#REF!</v>
      </c>
      <c r="B18" s="268" t="s">
        <v>158</v>
      </c>
      <c r="C18" s="266" t="e">
        <f>#REF!</f>
        <v>#REF!</v>
      </c>
      <c r="D18" s="266" t="s">
        <v>159</v>
      </c>
      <c r="E18" s="271" t="e">
        <f>#REF!</f>
        <v>#REF!</v>
      </c>
      <c r="F18" s="271" t="e">
        <f>#REF!</f>
        <v>#REF!</v>
      </c>
      <c r="G18" s="267" t="s">
        <v>161</v>
      </c>
      <c r="H18" s="268" t="e">
        <f>#REF!-#REF!-#REF!-#REF!-#REF!-#REF!</f>
        <v>#REF!</v>
      </c>
      <c r="I18" s="269">
        <v>0</v>
      </c>
      <c r="J18" s="268" t="e">
        <f t="shared" si="0"/>
        <v>#REF!</v>
      </c>
      <c r="K18" s="268" t="e">
        <f>#REF!+#REF!</f>
        <v>#REF!</v>
      </c>
      <c r="L18" s="268" t="e">
        <f>+#REF!</f>
        <v>#REF!</v>
      </c>
      <c r="M18" s="268" t="e">
        <f>#REF!+#REF!</f>
        <v>#REF!</v>
      </c>
      <c r="N18" s="270" t="e">
        <f t="shared" si="1"/>
        <v>#REF!</v>
      </c>
      <c r="O18" s="268" t="e">
        <f t="shared" si="8"/>
        <v>#REF!</v>
      </c>
      <c r="P18" s="268" t="e">
        <f t="shared" si="9"/>
        <v>#REF!</v>
      </c>
      <c r="Q18" s="268" t="e">
        <f t="shared" si="10"/>
        <v>#REF!</v>
      </c>
      <c r="R18" s="268" t="e">
        <f t="shared" si="2"/>
        <v>#REF!</v>
      </c>
      <c r="S18" s="268" t="e">
        <f t="shared" si="11"/>
        <v>#REF!</v>
      </c>
      <c r="T18" s="271" t="e">
        <f>#REF!</f>
        <v>#REF!</v>
      </c>
      <c r="U18" s="272" t="e">
        <f t="shared" si="12"/>
        <v>#REF!</v>
      </c>
      <c r="V18" s="377">
        <f>(2035100)/12</f>
        <v>169591.66666666666</v>
      </c>
      <c r="W18" s="216">
        <v>0</v>
      </c>
      <c r="X18" s="216"/>
      <c r="Y18" s="216"/>
      <c r="Z18" s="216"/>
      <c r="AA18" s="216">
        <f t="shared" si="3"/>
        <v>0</v>
      </c>
      <c r="AB18" s="217">
        <f t="shared" si="13"/>
        <v>0</v>
      </c>
      <c r="AC18" s="216">
        <v>2467310</v>
      </c>
      <c r="AD18" s="216" t="s">
        <v>160</v>
      </c>
      <c r="AE18" s="216"/>
      <c r="AF18" s="216"/>
      <c r="AG18" s="216">
        <f>+AC18+AE18</f>
        <v>2467310</v>
      </c>
      <c r="AH18" s="217">
        <f t="shared" si="14"/>
        <v>246731</v>
      </c>
      <c r="AI18" s="217">
        <f t="shared" si="15"/>
        <v>246731</v>
      </c>
      <c r="AJ18" s="221">
        <v>205609</v>
      </c>
      <c r="AK18" s="216">
        <v>0</v>
      </c>
      <c r="AL18" s="216"/>
      <c r="AM18" s="216"/>
      <c r="AN18" s="216"/>
      <c r="AO18" s="216">
        <f t="shared" si="5"/>
        <v>0</v>
      </c>
      <c r="AP18" s="218">
        <f t="shared" si="16"/>
        <v>0</v>
      </c>
      <c r="AQ18" s="216"/>
      <c r="AR18" s="216"/>
      <c r="AS18" s="216"/>
      <c r="AT18" s="216"/>
      <c r="AU18" s="216"/>
      <c r="AV18" s="219">
        <f t="shared" si="17"/>
        <v>0</v>
      </c>
      <c r="AW18" s="217">
        <f t="shared" si="6"/>
        <v>2684000</v>
      </c>
      <c r="AX18" s="220">
        <f t="shared" si="18"/>
        <v>205609</v>
      </c>
      <c r="AY18" s="216" t="e">
        <f t="shared" si="19"/>
        <v>#REF!</v>
      </c>
      <c r="AZ18" s="216" t="e">
        <f t="shared" si="20"/>
        <v>#REF!</v>
      </c>
      <c r="BA18" s="319" t="e">
        <f t="shared" si="21"/>
        <v>#REF!</v>
      </c>
      <c r="BB18" s="320">
        <f t="shared" si="7"/>
        <v>205609</v>
      </c>
      <c r="BC18" s="207"/>
      <c r="BD18" s="207"/>
    </row>
    <row r="19" spans="1:56" ht="11.25" customHeight="1">
      <c r="A19" s="273" t="e">
        <f>#REF!</f>
        <v>#REF!</v>
      </c>
      <c r="B19" s="268" t="s">
        <v>158</v>
      </c>
      <c r="C19" s="266" t="e">
        <f>#REF!</f>
        <v>#REF!</v>
      </c>
      <c r="D19" s="266" t="s">
        <v>159</v>
      </c>
      <c r="E19" s="271" t="e">
        <f>#REF!</f>
        <v>#REF!</v>
      </c>
      <c r="F19" s="271" t="e">
        <f>#REF!</f>
        <v>#REF!</v>
      </c>
      <c r="G19" s="267" t="s">
        <v>161</v>
      </c>
      <c r="H19" s="268" t="e">
        <f>#REF!-#REF!-#REF!-#REF!-#REF!-#REF!</f>
        <v>#REF!</v>
      </c>
      <c r="I19" s="269">
        <v>0</v>
      </c>
      <c r="J19" s="268" t="e">
        <f t="shared" si="0"/>
        <v>#REF!</v>
      </c>
      <c r="K19" s="268" t="e">
        <f>#REF!+#REF!</f>
        <v>#REF!</v>
      </c>
      <c r="L19" s="268" t="e">
        <f>+#REF!</f>
        <v>#REF!</v>
      </c>
      <c r="M19" s="268" t="e">
        <f>#REF!+#REF!</f>
        <v>#REF!</v>
      </c>
      <c r="N19" s="270" t="e">
        <f t="shared" si="1"/>
        <v>#REF!</v>
      </c>
      <c r="O19" s="268" t="e">
        <f t="shared" si="8"/>
        <v>#REF!</v>
      </c>
      <c r="P19" s="268" t="e">
        <f t="shared" si="9"/>
        <v>#REF!</v>
      </c>
      <c r="Q19" s="268" t="e">
        <f t="shared" si="10"/>
        <v>#REF!</v>
      </c>
      <c r="R19" s="268" t="e">
        <f t="shared" si="2"/>
        <v>#REF!</v>
      </c>
      <c r="S19" s="268" t="e">
        <f t="shared" si="11"/>
        <v>#REF!</v>
      </c>
      <c r="T19" s="271" t="e">
        <f>#REF!</f>
        <v>#REF!</v>
      </c>
      <c r="U19" s="272" t="e">
        <f t="shared" si="12"/>
        <v>#REF!</v>
      </c>
      <c r="V19" s="377">
        <f>(2035000)/12</f>
        <v>169583.33333333334</v>
      </c>
      <c r="W19" s="216">
        <v>0</v>
      </c>
      <c r="X19" s="216">
        <v>0</v>
      </c>
      <c r="Y19" s="216"/>
      <c r="Z19" s="216"/>
      <c r="AA19" s="216">
        <f>+W19+Y19</f>
        <v>0</v>
      </c>
      <c r="AB19" s="217">
        <f t="shared" si="13"/>
        <v>0</v>
      </c>
      <c r="AC19" s="216">
        <v>0</v>
      </c>
      <c r="AD19" s="216"/>
      <c r="AE19" s="216"/>
      <c r="AF19" s="216"/>
      <c r="AG19" s="216">
        <f t="shared" si="4"/>
        <v>0</v>
      </c>
      <c r="AH19" s="217">
        <f t="shared" si="14"/>
        <v>0</v>
      </c>
      <c r="AI19" s="217">
        <f t="shared" si="15"/>
        <v>0</v>
      </c>
      <c r="AJ19" s="221">
        <v>0</v>
      </c>
      <c r="AK19" s="216">
        <v>0</v>
      </c>
      <c r="AL19" s="216"/>
      <c r="AM19" s="216"/>
      <c r="AN19" s="216"/>
      <c r="AO19" s="216">
        <f t="shared" si="5"/>
        <v>0</v>
      </c>
      <c r="AP19" s="218">
        <f t="shared" si="16"/>
        <v>0</v>
      </c>
      <c r="AQ19" s="216"/>
      <c r="AR19" s="216"/>
      <c r="AS19" s="216"/>
      <c r="AT19" s="216"/>
      <c r="AU19" s="216"/>
      <c r="AV19" s="219">
        <f t="shared" si="17"/>
        <v>0</v>
      </c>
      <c r="AW19" s="217">
        <f t="shared" si="6"/>
        <v>2684000</v>
      </c>
      <c r="AX19" s="220">
        <f t="shared" si="18"/>
        <v>0</v>
      </c>
      <c r="AY19" s="216" t="e">
        <f t="shared" si="19"/>
        <v>#REF!</v>
      </c>
      <c r="AZ19" s="216" t="e">
        <f t="shared" si="20"/>
        <v>#REF!</v>
      </c>
      <c r="BA19" s="319" t="e">
        <f t="shared" si="21"/>
        <v>#REF!</v>
      </c>
      <c r="BB19" s="320">
        <f t="shared" si="7"/>
        <v>0</v>
      </c>
      <c r="BC19" s="207"/>
      <c r="BD19" s="207"/>
    </row>
    <row r="20" spans="1:56" ht="11.25" customHeight="1">
      <c r="A20" s="273" t="e">
        <f>#REF!</f>
        <v>#REF!</v>
      </c>
      <c r="B20" s="268" t="s">
        <v>158</v>
      </c>
      <c r="C20" s="266" t="e">
        <f>#REF!</f>
        <v>#REF!</v>
      </c>
      <c r="D20" s="274" t="s">
        <v>159</v>
      </c>
      <c r="E20" s="271" t="e">
        <f>#REF!</f>
        <v>#REF!</v>
      </c>
      <c r="F20" s="271" t="e">
        <f>#REF!</f>
        <v>#REF!</v>
      </c>
      <c r="G20" s="267" t="s">
        <v>161</v>
      </c>
      <c r="H20" s="268" t="e">
        <f>#REF!-#REF!-#REF!-#REF!-#REF!-#REF!</f>
        <v>#REF!</v>
      </c>
      <c r="I20" s="269">
        <v>0</v>
      </c>
      <c r="J20" s="268" t="e">
        <f t="shared" si="0"/>
        <v>#REF!</v>
      </c>
      <c r="K20" s="268" t="e">
        <f>#REF!+#REF!</f>
        <v>#REF!</v>
      </c>
      <c r="L20" s="268" t="e">
        <f>+#REF!</f>
        <v>#REF!</v>
      </c>
      <c r="M20" s="268" t="e">
        <f>#REF!+#REF!</f>
        <v>#REF!</v>
      </c>
      <c r="N20" s="270" t="e">
        <f t="shared" si="1"/>
        <v>#REF!</v>
      </c>
      <c r="O20" s="268" t="e">
        <f t="shared" si="8"/>
        <v>#REF!</v>
      </c>
      <c r="P20" s="268" t="e">
        <f t="shared" si="9"/>
        <v>#REF!</v>
      </c>
      <c r="Q20" s="268" t="e">
        <f t="shared" si="10"/>
        <v>#REF!</v>
      </c>
      <c r="R20" s="268" t="e">
        <f t="shared" si="2"/>
        <v>#REF!</v>
      </c>
      <c r="S20" s="268" t="e">
        <f t="shared" si="11"/>
        <v>#REF!</v>
      </c>
      <c r="T20" s="271">
        <v>30</v>
      </c>
      <c r="U20" s="272" t="e">
        <f t="shared" si="12"/>
        <v>#REF!</v>
      </c>
      <c r="V20" s="377">
        <f>(1001300)/12</f>
        <v>83441.66666666667</v>
      </c>
      <c r="W20" s="216">
        <v>0</v>
      </c>
      <c r="X20" s="216"/>
      <c r="Y20" s="216"/>
      <c r="Z20" s="216"/>
      <c r="AA20" s="216">
        <f t="shared" si="3"/>
        <v>0</v>
      </c>
      <c r="AB20" s="217">
        <f t="shared" si="13"/>
        <v>0</v>
      </c>
      <c r="AC20" s="216">
        <v>0</v>
      </c>
      <c r="AD20" s="216"/>
      <c r="AE20" s="216"/>
      <c r="AF20" s="216"/>
      <c r="AG20" s="216">
        <f t="shared" si="4"/>
        <v>0</v>
      </c>
      <c r="AH20" s="217">
        <f t="shared" si="14"/>
        <v>0</v>
      </c>
      <c r="AI20" s="217">
        <f t="shared" si="15"/>
        <v>0</v>
      </c>
      <c r="AJ20" s="221">
        <v>0</v>
      </c>
      <c r="AK20" s="216">
        <v>0</v>
      </c>
      <c r="AL20" s="216"/>
      <c r="AM20" s="216"/>
      <c r="AN20" s="216"/>
      <c r="AO20" s="216">
        <f t="shared" si="5"/>
        <v>0</v>
      </c>
      <c r="AP20" s="218">
        <f t="shared" si="16"/>
        <v>0</v>
      </c>
      <c r="AQ20" s="216"/>
      <c r="AR20" s="216"/>
      <c r="AS20" s="216"/>
      <c r="AT20" s="216"/>
      <c r="AU20" s="216"/>
      <c r="AV20" s="219">
        <f t="shared" si="17"/>
        <v>0</v>
      </c>
      <c r="AW20" s="217">
        <f t="shared" si="6"/>
        <v>2684000</v>
      </c>
      <c r="AX20" s="220">
        <f t="shared" si="18"/>
        <v>0</v>
      </c>
      <c r="AY20" s="216" t="e">
        <f t="shared" si="19"/>
        <v>#REF!</v>
      </c>
      <c r="AZ20" s="216" t="e">
        <f t="shared" si="20"/>
        <v>#REF!</v>
      </c>
      <c r="BA20" s="319" t="e">
        <f t="shared" si="21"/>
        <v>#REF!</v>
      </c>
      <c r="BB20" s="320">
        <f t="shared" si="7"/>
        <v>0</v>
      </c>
      <c r="BC20" s="207"/>
      <c r="BD20" s="207"/>
    </row>
    <row r="21" spans="1:56" ht="11.25">
      <c r="A21" s="273" t="e">
        <f>#REF!</f>
        <v>#REF!</v>
      </c>
      <c r="B21" s="268" t="s">
        <v>158</v>
      </c>
      <c r="C21" s="266" t="e">
        <f>#REF!</f>
        <v>#REF!</v>
      </c>
      <c r="D21" s="274" t="s">
        <v>118</v>
      </c>
      <c r="E21" s="271" t="e">
        <f>#REF!</f>
        <v>#REF!</v>
      </c>
      <c r="F21" s="271" t="e">
        <f>#REF!</f>
        <v>#REF!</v>
      </c>
      <c r="G21" s="267" t="s">
        <v>161</v>
      </c>
      <c r="H21" s="268" t="e">
        <f>#REF!-#REF!-#REF!-#REF!-#REF!-#REF!</f>
        <v>#REF!</v>
      </c>
      <c r="I21" s="269">
        <v>0</v>
      </c>
      <c r="J21" s="268" t="e">
        <f t="shared" si="0"/>
        <v>#REF!</v>
      </c>
      <c r="K21" s="268" t="e">
        <f>#REF!+#REF!</f>
        <v>#REF!</v>
      </c>
      <c r="L21" s="268" t="e">
        <f>+#REF!</f>
        <v>#REF!</v>
      </c>
      <c r="M21" s="268" t="e">
        <f>#REF!+#REF!</f>
        <v>#REF!</v>
      </c>
      <c r="N21" s="270" t="e">
        <f t="shared" si="1"/>
        <v>#REF!</v>
      </c>
      <c r="O21" s="268" t="e">
        <f t="shared" si="8"/>
        <v>#REF!</v>
      </c>
      <c r="P21" s="268" t="e">
        <f t="shared" si="9"/>
        <v>#REF!</v>
      </c>
      <c r="Q21" s="268" t="e">
        <f t="shared" si="10"/>
        <v>#REF!</v>
      </c>
      <c r="R21" s="268" t="e">
        <f t="shared" si="2"/>
        <v>#REF!</v>
      </c>
      <c r="S21" s="268" t="e">
        <f t="shared" si="11"/>
        <v>#REF!</v>
      </c>
      <c r="T21" s="271" t="e">
        <f>#REF!</f>
        <v>#REF!</v>
      </c>
      <c r="U21" s="272" t="e">
        <f t="shared" si="12"/>
        <v>#REF!</v>
      </c>
      <c r="V21" s="377">
        <f>(2004200/12)</f>
        <v>167016.66666666666</v>
      </c>
      <c r="W21" s="216">
        <v>0</v>
      </c>
      <c r="X21" s="216"/>
      <c r="Y21" s="216"/>
      <c r="Z21" s="216"/>
      <c r="AA21" s="216">
        <f t="shared" si="3"/>
        <v>0</v>
      </c>
      <c r="AB21" s="217">
        <f t="shared" si="13"/>
        <v>0</v>
      </c>
      <c r="AC21" s="216">
        <v>0</v>
      </c>
      <c r="AD21" s="216"/>
      <c r="AE21" s="216"/>
      <c r="AF21" s="216"/>
      <c r="AG21" s="216">
        <f t="shared" si="4"/>
        <v>0</v>
      </c>
      <c r="AH21" s="217">
        <f t="shared" si="14"/>
        <v>0</v>
      </c>
      <c r="AI21" s="217">
        <f t="shared" si="15"/>
        <v>0</v>
      </c>
      <c r="AJ21" s="221">
        <v>0</v>
      </c>
      <c r="AK21" s="216">
        <v>0</v>
      </c>
      <c r="AL21" s="216"/>
      <c r="AM21" s="216"/>
      <c r="AN21" s="216"/>
      <c r="AO21" s="216">
        <f t="shared" si="5"/>
        <v>0</v>
      </c>
      <c r="AP21" s="218">
        <f t="shared" si="16"/>
        <v>0</v>
      </c>
      <c r="AQ21" s="216"/>
      <c r="AR21" s="216"/>
      <c r="AS21" s="216"/>
      <c r="AT21" s="216"/>
      <c r="AU21" s="216"/>
      <c r="AV21" s="219">
        <f t="shared" si="17"/>
        <v>0</v>
      </c>
      <c r="AW21" s="217">
        <f t="shared" si="6"/>
        <v>2684000</v>
      </c>
      <c r="AX21" s="220">
        <f t="shared" si="18"/>
        <v>0</v>
      </c>
      <c r="AY21" s="216" t="e">
        <f t="shared" si="19"/>
        <v>#REF!</v>
      </c>
      <c r="AZ21" s="216" t="e">
        <f t="shared" si="20"/>
        <v>#REF!</v>
      </c>
      <c r="BA21" s="319" t="e">
        <f t="shared" si="21"/>
        <v>#REF!</v>
      </c>
      <c r="BB21" s="320">
        <f t="shared" si="7"/>
        <v>0</v>
      </c>
      <c r="BC21" s="207"/>
      <c r="BD21" s="207"/>
    </row>
    <row r="22" spans="1:56" ht="11.25" customHeight="1">
      <c r="A22" s="273" t="e">
        <f>#REF!</f>
        <v>#REF!</v>
      </c>
      <c r="B22" s="268" t="s">
        <v>158</v>
      </c>
      <c r="C22" s="266" t="e">
        <f>#REF!</f>
        <v>#REF!</v>
      </c>
      <c r="D22" s="274" t="s">
        <v>163</v>
      </c>
      <c r="E22" s="271" t="e">
        <f>#REF!</f>
        <v>#REF!</v>
      </c>
      <c r="F22" s="271" t="e">
        <f>#REF!</f>
        <v>#REF!</v>
      </c>
      <c r="G22" s="267" t="s">
        <v>161</v>
      </c>
      <c r="H22" s="268" t="e">
        <f>#REF!-#REF!-#REF!-#REF!-#REF!-#REF!</f>
        <v>#REF!</v>
      </c>
      <c r="I22" s="269">
        <v>0</v>
      </c>
      <c r="J22" s="268" t="e">
        <f t="shared" si="0"/>
        <v>#REF!</v>
      </c>
      <c r="K22" s="268" t="e">
        <f>#REF!+#REF!</f>
        <v>#REF!</v>
      </c>
      <c r="L22" s="268" t="e">
        <f>+#REF!</f>
        <v>#REF!</v>
      </c>
      <c r="M22" s="268" t="e">
        <f>#REF!+#REF!</f>
        <v>#REF!</v>
      </c>
      <c r="N22" s="270" t="e">
        <f t="shared" si="1"/>
        <v>#REF!</v>
      </c>
      <c r="O22" s="268" t="e">
        <f t="shared" si="8"/>
        <v>#REF!</v>
      </c>
      <c r="P22" s="268" t="e">
        <f t="shared" si="9"/>
        <v>#REF!</v>
      </c>
      <c r="Q22" s="268" t="e">
        <f t="shared" si="10"/>
        <v>#REF!</v>
      </c>
      <c r="R22" s="268" t="e">
        <f t="shared" si="2"/>
        <v>#REF!</v>
      </c>
      <c r="S22" s="268" t="e">
        <f t="shared" si="11"/>
        <v>#REF!</v>
      </c>
      <c r="T22" s="271" t="e">
        <f>#REF!</f>
        <v>#REF!</v>
      </c>
      <c r="U22" s="272" t="e">
        <f t="shared" si="12"/>
        <v>#REF!</v>
      </c>
      <c r="V22" s="377">
        <f>(2046300)/12</f>
        <v>170525</v>
      </c>
      <c r="W22" s="216">
        <v>0</v>
      </c>
      <c r="X22" s="216"/>
      <c r="Y22" s="216"/>
      <c r="Z22" s="216"/>
      <c r="AA22" s="216">
        <f t="shared" si="3"/>
        <v>0</v>
      </c>
      <c r="AB22" s="217">
        <f t="shared" si="13"/>
        <v>0</v>
      </c>
      <c r="AC22" s="216">
        <v>0</v>
      </c>
      <c r="AD22" s="216"/>
      <c r="AE22" s="216"/>
      <c r="AF22" s="216"/>
      <c r="AG22" s="216">
        <f t="shared" si="4"/>
        <v>0</v>
      </c>
      <c r="AH22" s="217">
        <f t="shared" si="14"/>
        <v>0</v>
      </c>
      <c r="AI22" s="217">
        <f t="shared" si="15"/>
        <v>0</v>
      </c>
      <c r="AJ22" s="221">
        <v>0</v>
      </c>
      <c r="AK22" s="216">
        <v>0</v>
      </c>
      <c r="AL22" s="216"/>
      <c r="AM22" s="216"/>
      <c r="AN22" s="216"/>
      <c r="AO22" s="216">
        <f t="shared" si="5"/>
        <v>0</v>
      </c>
      <c r="AP22" s="218">
        <f t="shared" si="16"/>
        <v>0</v>
      </c>
      <c r="AQ22" s="216"/>
      <c r="AR22" s="216"/>
      <c r="AS22" s="216"/>
      <c r="AT22" s="216"/>
      <c r="AU22" s="216"/>
      <c r="AV22" s="219">
        <f t="shared" si="17"/>
        <v>0</v>
      </c>
      <c r="AW22" s="217">
        <f t="shared" si="6"/>
        <v>2684000</v>
      </c>
      <c r="AX22" s="220">
        <f t="shared" si="18"/>
        <v>0</v>
      </c>
      <c r="AY22" s="216" t="e">
        <f t="shared" si="19"/>
        <v>#REF!</v>
      </c>
      <c r="AZ22" s="216" t="e">
        <f t="shared" si="20"/>
        <v>#REF!</v>
      </c>
      <c r="BA22" s="319" t="e">
        <f t="shared" si="21"/>
        <v>#REF!</v>
      </c>
      <c r="BB22" s="320">
        <f t="shared" si="7"/>
        <v>0</v>
      </c>
      <c r="BC22" s="207"/>
      <c r="BD22" s="207"/>
    </row>
    <row r="23" spans="1:56" ht="11.25" customHeight="1">
      <c r="A23" s="273" t="e">
        <f>#REF!</f>
        <v>#REF!</v>
      </c>
      <c r="B23" s="268" t="s">
        <v>158</v>
      </c>
      <c r="C23" s="266" t="e">
        <f>#REF!</f>
        <v>#REF!</v>
      </c>
      <c r="D23" s="274" t="s">
        <v>159</v>
      </c>
      <c r="E23" s="271" t="e">
        <f>#REF!</f>
        <v>#REF!</v>
      </c>
      <c r="F23" s="271" t="e">
        <f>#REF!</f>
        <v>#REF!</v>
      </c>
      <c r="G23" s="267" t="s">
        <v>166</v>
      </c>
      <c r="H23" s="268" t="e">
        <f>#REF!-#REF!-#REF!-#REF!-#REF!-#REF!</f>
        <v>#REF!</v>
      </c>
      <c r="I23" s="269">
        <v>0</v>
      </c>
      <c r="J23" s="268" t="e">
        <f t="shared" si="0"/>
        <v>#REF!</v>
      </c>
      <c r="K23" s="268" t="e">
        <f>#REF!+#REF!</f>
        <v>#REF!</v>
      </c>
      <c r="L23" s="268" t="e">
        <f>+#REF!</f>
        <v>#REF!</v>
      </c>
      <c r="M23" s="268" t="e">
        <f>#REF!+#REF!</f>
        <v>#REF!</v>
      </c>
      <c r="N23" s="270" t="e">
        <f t="shared" si="1"/>
        <v>#REF!</v>
      </c>
      <c r="O23" s="268" t="e">
        <f t="shared" si="8"/>
        <v>#REF!</v>
      </c>
      <c r="P23" s="268" t="e">
        <f t="shared" si="9"/>
        <v>#REF!</v>
      </c>
      <c r="Q23" s="268" t="e">
        <f t="shared" si="10"/>
        <v>#REF!</v>
      </c>
      <c r="R23" s="268" t="e">
        <f t="shared" si="2"/>
        <v>#REF!</v>
      </c>
      <c r="S23" s="268" t="e">
        <f t="shared" si="11"/>
        <v>#REF!</v>
      </c>
      <c r="T23" s="271" t="e">
        <f>#REF!</f>
        <v>#REF!</v>
      </c>
      <c r="U23" s="272" t="e">
        <f t="shared" si="12"/>
        <v>#REF!</v>
      </c>
      <c r="V23" s="377" t="e">
        <f>#REF!</f>
        <v>#REF!</v>
      </c>
      <c r="W23" s="216">
        <v>0</v>
      </c>
      <c r="X23" s="216"/>
      <c r="Y23" s="216"/>
      <c r="Z23" s="216"/>
      <c r="AA23" s="216">
        <f>+W23+Y23</f>
        <v>0</v>
      </c>
      <c r="AB23" s="217">
        <f t="shared" si="13"/>
        <v>0</v>
      </c>
      <c r="AC23" s="216">
        <v>0</v>
      </c>
      <c r="AD23" s="216"/>
      <c r="AE23" s="216"/>
      <c r="AF23" s="216"/>
      <c r="AG23" s="216">
        <f t="shared" si="4"/>
        <v>0</v>
      </c>
      <c r="AH23" s="217">
        <f t="shared" si="14"/>
        <v>0</v>
      </c>
      <c r="AI23" s="217">
        <f t="shared" si="15"/>
        <v>0</v>
      </c>
      <c r="AJ23" s="221">
        <v>0</v>
      </c>
      <c r="AK23" s="216">
        <v>0</v>
      </c>
      <c r="AL23" s="216"/>
      <c r="AM23" s="216"/>
      <c r="AN23" s="216"/>
      <c r="AO23" s="216">
        <f t="shared" si="5"/>
        <v>0</v>
      </c>
      <c r="AP23" s="218">
        <f t="shared" si="16"/>
        <v>0</v>
      </c>
      <c r="AQ23" s="216"/>
      <c r="AR23" s="216"/>
      <c r="AS23" s="216"/>
      <c r="AT23" s="216"/>
      <c r="AU23" s="216"/>
      <c r="AV23" s="219">
        <f t="shared" si="17"/>
        <v>0</v>
      </c>
      <c r="AW23" s="217">
        <f t="shared" si="6"/>
        <v>2684000</v>
      </c>
      <c r="AX23" s="220">
        <f t="shared" si="18"/>
        <v>0</v>
      </c>
      <c r="AY23" s="216" t="e">
        <f t="shared" si="19"/>
        <v>#REF!</v>
      </c>
      <c r="AZ23" s="216" t="e">
        <f t="shared" si="20"/>
        <v>#REF!</v>
      </c>
      <c r="BA23" s="319" t="e">
        <f t="shared" si="21"/>
        <v>#REF!</v>
      </c>
      <c r="BB23" s="320">
        <f t="shared" si="7"/>
        <v>0</v>
      </c>
      <c r="BC23" s="207"/>
      <c r="BD23" s="207"/>
    </row>
    <row r="24" spans="1:56" ht="11.25" customHeight="1">
      <c r="A24" s="273" t="e">
        <f>#REF!</f>
        <v>#REF!</v>
      </c>
      <c r="B24" s="268" t="s">
        <v>158</v>
      </c>
      <c r="C24" s="266" t="e">
        <f>#REF!</f>
        <v>#REF!</v>
      </c>
      <c r="D24" s="266" t="s">
        <v>159</v>
      </c>
      <c r="E24" s="271" t="e">
        <f>#REF!</f>
        <v>#REF!</v>
      </c>
      <c r="F24" s="271" t="e">
        <f>#REF!</f>
        <v>#REF!</v>
      </c>
      <c r="G24" s="267" t="s">
        <v>166</v>
      </c>
      <c r="H24" s="268" t="e">
        <f>#REF!-#REF!-#REF!-#REF!-#REF!-#REF!</f>
        <v>#REF!</v>
      </c>
      <c r="I24" s="269">
        <v>0</v>
      </c>
      <c r="J24" s="268" t="e">
        <f t="shared" si="0"/>
        <v>#REF!</v>
      </c>
      <c r="K24" s="268" t="e">
        <f>#REF!+#REF!</f>
        <v>#REF!</v>
      </c>
      <c r="L24" s="268" t="e">
        <f>+#REF!</f>
        <v>#REF!</v>
      </c>
      <c r="M24" s="268" t="e">
        <f>#REF!+#REF!</f>
        <v>#REF!</v>
      </c>
      <c r="N24" s="270" t="e">
        <f t="shared" si="1"/>
        <v>#REF!</v>
      </c>
      <c r="O24" s="268" t="e">
        <f t="shared" si="8"/>
        <v>#REF!</v>
      </c>
      <c r="P24" s="268" t="e">
        <f t="shared" si="9"/>
        <v>#REF!</v>
      </c>
      <c r="Q24" s="268" t="e">
        <f t="shared" si="10"/>
        <v>#REF!</v>
      </c>
      <c r="R24" s="268" t="e">
        <f t="shared" si="2"/>
        <v>#REF!</v>
      </c>
      <c r="S24" s="268" t="e">
        <f t="shared" si="11"/>
        <v>#REF!</v>
      </c>
      <c r="T24" s="271" t="e">
        <f>#REF!</f>
        <v>#REF!</v>
      </c>
      <c r="U24" s="272" t="e">
        <f t="shared" si="12"/>
        <v>#REF!</v>
      </c>
      <c r="V24" s="377" t="e">
        <f>#REF!</f>
        <v>#REF!</v>
      </c>
      <c r="W24" s="216">
        <v>0</v>
      </c>
      <c r="X24" s="216"/>
      <c r="Y24" s="216"/>
      <c r="Z24" s="216"/>
      <c r="AA24" s="216">
        <f t="shared" si="3"/>
        <v>0</v>
      </c>
      <c r="AB24" s="217">
        <f t="shared" si="13"/>
        <v>0</v>
      </c>
      <c r="AC24" s="216">
        <v>0</v>
      </c>
      <c r="AD24" s="216"/>
      <c r="AE24" s="216"/>
      <c r="AF24" s="216"/>
      <c r="AG24" s="216">
        <f t="shared" si="4"/>
        <v>0</v>
      </c>
      <c r="AH24" s="217">
        <f t="shared" si="14"/>
        <v>0</v>
      </c>
      <c r="AI24" s="217">
        <f t="shared" si="15"/>
        <v>0</v>
      </c>
      <c r="AJ24" s="221">
        <v>0</v>
      </c>
      <c r="AK24" s="216">
        <v>0</v>
      </c>
      <c r="AL24" s="216"/>
      <c r="AM24" s="216"/>
      <c r="AN24" s="216"/>
      <c r="AO24" s="216">
        <f t="shared" si="5"/>
        <v>0</v>
      </c>
      <c r="AP24" s="218">
        <f t="shared" si="16"/>
        <v>0</v>
      </c>
      <c r="AQ24" s="216"/>
      <c r="AR24" s="216"/>
      <c r="AS24" s="216"/>
      <c r="AT24" s="216"/>
      <c r="AU24" s="216"/>
      <c r="AV24" s="219">
        <f t="shared" si="17"/>
        <v>0</v>
      </c>
      <c r="AW24" s="217">
        <f t="shared" si="6"/>
        <v>2684000</v>
      </c>
      <c r="AX24" s="220">
        <f t="shared" si="18"/>
        <v>0</v>
      </c>
      <c r="AY24" s="216" t="e">
        <f t="shared" si="19"/>
        <v>#REF!</v>
      </c>
      <c r="AZ24" s="216" t="e">
        <f t="shared" si="20"/>
        <v>#REF!</v>
      </c>
      <c r="BA24" s="319" t="e">
        <f t="shared" si="21"/>
        <v>#REF!</v>
      </c>
      <c r="BB24" s="320">
        <f t="shared" si="7"/>
        <v>0</v>
      </c>
      <c r="BC24" s="207"/>
      <c r="BD24" s="207"/>
    </row>
    <row r="25" spans="1:56" ht="11.25">
      <c r="A25" s="273" t="e">
        <f>#REF!</f>
        <v>#REF!</v>
      </c>
      <c r="B25" s="268" t="s">
        <v>158</v>
      </c>
      <c r="C25" s="266" t="e">
        <f>#REF!</f>
        <v>#REF!</v>
      </c>
      <c r="D25" s="274" t="s">
        <v>163</v>
      </c>
      <c r="E25" s="271" t="e">
        <f>#REF!</f>
        <v>#REF!</v>
      </c>
      <c r="F25" s="271" t="e">
        <f>#REF!</f>
        <v>#REF!</v>
      </c>
      <c r="G25" s="267" t="s">
        <v>161</v>
      </c>
      <c r="H25" s="268" t="e">
        <f>#REF!-#REF!-#REF!-#REF!-#REF!-#REF!</f>
        <v>#REF!</v>
      </c>
      <c r="I25" s="269">
        <v>0</v>
      </c>
      <c r="J25" s="268" t="e">
        <f t="shared" si="0"/>
        <v>#REF!</v>
      </c>
      <c r="K25" s="268" t="e">
        <f>#REF!+#REF!</f>
        <v>#REF!</v>
      </c>
      <c r="L25" s="268" t="e">
        <f>+#REF!</f>
        <v>#REF!</v>
      </c>
      <c r="M25" s="268" t="e">
        <f>#REF!+#REF!</f>
        <v>#REF!</v>
      </c>
      <c r="N25" s="270" t="e">
        <f t="shared" si="1"/>
        <v>#REF!</v>
      </c>
      <c r="O25" s="268" t="e">
        <f t="shared" si="8"/>
        <v>#REF!</v>
      </c>
      <c r="P25" s="268" t="e">
        <f t="shared" si="9"/>
        <v>#REF!</v>
      </c>
      <c r="Q25" s="268" t="e">
        <f t="shared" si="10"/>
        <v>#REF!</v>
      </c>
      <c r="R25" s="268" t="e">
        <f t="shared" si="2"/>
        <v>#REF!</v>
      </c>
      <c r="S25" s="268" t="e">
        <f t="shared" si="11"/>
        <v>#REF!</v>
      </c>
      <c r="T25" s="271">
        <v>30</v>
      </c>
      <c r="U25" s="272" t="e">
        <f t="shared" si="12"/>
        <v>#REF!</v>
      </c>
      <c r="V25" s="377">
        <f>(978600)/12</f>
        <v>81550</v>
      </c>
      <c r="W25" s="216">
        <v>0</v>
      </c>
      <c r="X25" s="216"/>
      <c r="Y25" s="216"/>
      <c r="Z25" s="216"/>
      <c r="AA25" s="216">
        <f t="shared" si="3"/>
        <v>0</v>
      </c>
      <c r="AB25" s="217">
        <f t="shared" si="13"/>
        <v>0</v>
      </c>
      <c r="AC25" s="216">
        <v>0</v>
      </c>
      <c r="AD25" s="216"/>
      <c r="AE25" s="216"/>
      <c r="AF25" s="216"/>
      <c r="AG25" s="216">
        <f t="shared" si="4"/>
        <v>0</v>
      </c>
      <c r="AH25" s="217">
        <f t="shared" si="14"/>
        <v>0</v>
      </c>
      <c r="AI25" s="217">
        <f t="shared" si="15"/>
        <v>0</v>
      </c>
      <c r="AJ25" s="221">
        <v>0</v>
      </c>
      <c r="AK25" s="216">
        <v>0</v>
      </c>
      <c r="AL25" s="216"/>
      <c r="AM25" s="216"/>
      <c r="AN25" s="216"/>
      <c r="AO25" s="216">
        <f t="shared" si="5"/>
        <v>0</v>
      </c>
      <c r="AP25" s="218">
        <f t="shared" si="16"/>
        <v>0</v>
      </c>
      <c r="AQ25" s="216"/>
      <c r="AR25" s="216"/>
      <c r="AS25" s="216"/>
      <c r="AT25" s="216"/>
      <c r="AU25" s="216"/>
      <c r="AV25" s="219">
        <f t="shared" si="17"/>
        <v>0</v>
      </c>
      <c r="AW25" s="217">
        <f t="shared" si="6"/>
        <v>2684000</v>
      </c>
      <c r="AX25" s="220">
        <f t="shared" si="18"/>
        <v>0</v>
      </c>
      <c r="AY25" s="216" t="e">
        <f t="shared" si="19"/>
        <v>#REF!</v>
      </c>
      <c r="AZ25" s="216" t="e">
        <f t="shared" si="20"/>
        <v>#REF!</v>
      </c>
      <c r="BA25" s="319" t="e">
        <f t="shared" si="21"/>
        <v>#REF!</v>
      </c>
      <c r="BB25" s="320">
        <f t="shared" si="7"/>
        <v>0</v>
      </c>
      <c r="BC25" s="207"/>
      <c r="BD25" s="207"/>
    </row>
    <row r="26" spans="1:56" ht="11.25" customHeight="1">
      <c r="A26" s="273" t="e">
        <f>#REF!</f>
        <v>#REF!</v>
      </c>
      <c r="B26" s="268" t="s">
        <v>158</v>
      </c>
      <c r="C26" s="266" t="e">
        <f>#REF!</f>
        <v>#REF!</v>
      </c>
      <c r="D26" s="274" t="s">
        <v>159</v>
      </c>
      <c r="E26" s="271" t="e">
        <f>#REF!</f>
        <v>#REF!</v>
      </c>
      <c r="F26" s="271" t="e">
        <f>#REF!</f>
        <v>#REF!</v>
      </c>
      <c r="G26" s="267" t="s">
        <v>161</v>
      </c>
      <c r="H26" s="268" t="e">
        <f>#REF!-#REF!-#REF!-#REF!-#REF!-#REF!</f>
        <v>#REF!</v>
      </c>
      <c r="I26" s="269">
        <v>0</v>
      </c>
      <c r="J26" s="268" t="e">
        <f t="shared" si="0"/>
        <v>#REF!</v>
      </c>
      <c r="K26" s="268" t="e">
        <f>#REF!+#REF!</f>
        <v>#REF!</v>
      </c>
      <c r="L26" s="268" t="e">
        <f>+#REF!</f>
        <v>#REF!</v>
      </c>
      <c r="M26" s="268" t="e">
        <f>#REF!+#REF!</f>
        <v>#REF!</v>
      </c>
      <c r="N26" s="270" t="e">
        <f t="shared" si="1"/>
        <v>#REF!</v>
      </c>
      <c r="O26" s="268" t="e">
        <f t="shared" si="8"/>
        <v>#REF!</v>
      </c>
      <c r="P26" s="268" t="e">
        <f t="shared" si="9"/>
        <v>#REF!</v>
      </c>
      <c r="Q26" s="268" t="e">
        <f t="shared" si="10"/>
        <v>#REF!</v>
      </c>
      <c r="R26" s="268" t="e">
        <f t="shared" si="2"/>
        <v>#REF!</v>
      </c>
      <c r="S26" s="268" t="e">
        <f t="shared" si="11"/>
        <v>#REF!</v>
      </c>
      <c r="T26" s="271" t="e">
        <f>#REF!</f>
        <v>#REF!</v>
      </c>
      <c r="U26" s="272" t="e">
        <f t="shared" si="12"/>
        <v>#REF!</v>
      </c>
      <c r="V26" s="377">
        <f>(2493900)/12</f>
        <v>207825</v>
      </c>
      <c r="W26" s="216">
        <v>0</v>
      </c>
      <c r="X26" s="216"/>
      <c r="Y26" s="216"/>
      <c r="Z26" s="216"/>
      <c r="AA26" s="216">
        <f t="shared" si="3"/>
        <v>0</v>
      </c>
      <c r="AB26" s="217">
        <f t="shared" si="13"/>
        <v>0</v>
      </c>
      <c r="AC26" s="216">
        <v>2581920</v>
      </c>
      <c r="AD26" s="216" t="s">
        <v>160</v>
      </c>
      <c r="AE26" s="216"/>
      <c r="AF26" s="216"/>
      <c r="AG26" s="216">
        <f t="shared" si="4"/>
        <v>2581920</v>
      </c>
      <c r="AH26" s="217">
        <f t="shared" si="14"/>
        <v>258192</v>
      </c>
      <c r="AI26" s="217">
        <f t="shared" si="15"/>
        <v>258192</v>
      </c>
      <c r="AJ26" s="221">
        <v>594774</v>
      </c>
      <c r="AK26" s="216">
        <v>0</v>
      </c>
      <c r="AL26" s="216"/>
      <c r="AM26" s="216"/>
      <c r="AN26" s="216"/>
      <c r="AO26" s="216">
        <f t="shared" si="5"/>
        <v>0</v>
      </c>
      <c r="AP26" s="218">
        <f t="shared" si="16"/>
        <v>0</v>
      </c>
      <c r="AQ26" s="216"/>
      <c r="AR26" s="216"/>
      <c r="AS26" s="216"/>
      <c r="AT26" s="216"/>
      <c r="AU26" s="216"/>
      <c r="AV26" s="219">
        <f t="shared" si="17"/>
        <v>0</v>
      </c>
      <c r="AW26" s="217">
        <f t="shared" si="6"/>
        <v>2684000</v>
      </c>
      <c r="AX26" s="220">
        <f t="shared" si="18"/>
        <v>258192</v>
      </c>
      <c r="AY26" s="216" t="e">
        <f t="shared" si="19"/>
        <v>#REF!</v>
      </c>
      <c r="AZ26" s="216" t="e">
        <f t="shared" si="20"/>
        <v>#REF!</v>
      </c>
      <c r="BA26" s="319" t="e">
        <f t="shared" si="21"/>
        <v>#REF!</v>
      </c>
      <c r="BB26" s="320">
        <f t="shared" si="7"/>
        <v>258192</v>
      </c>
      <c r="BC26" s="207"/>
      <c r="BD26" s="207"/>
    </row>
    <row r="27" spans="1:56" ht="11.25" customHeight="1">
      <c r="A27" s="273" t="e">
        <f>#REF!</f>
        <v>#REF!</v>
      </c>
      <c r="B27" s="268" t="s">
        <v>158</v>
      </c>
      <c r="C27" s="266" t="e">
        <f>#REF!</f>
        <v>#REF!</v>
      </c>
      <c r="D27" s="274" t="s">
        <v>159</v>
      </c>
      <c r="E27" s="271" t="e">
        <f>#REF!</f>
        <v>#REF!</v>
      </c>
      <c r="F27" s="271" t="e">
        <f>#REF!</f>
        <v>#REF!</v>
      </c>
      <c r="G27" s="267" t="s">
        <v>161</v>
      </c>
      <c r="H27" s="268" t="e">
        <f>#REF!-#REF!-#REF!-#REF!-#REF!-#REF!</f>
        <v>#REF!</v>
      </c>
      <c r="I27" s="269">
        <v>0</v>
      </c>
      <c r="J27" s="268" t="e">
        <f t="shared" si="0"/>
        <v>#REF!</v>
      </c>
      <c r="K27" s="268" t="e">
        <f>#REF!+#REF!</f>
        <v>#REF!</v>
      </c>
      <c r="L27" s="268" t="e">
        <f>+#REF!</f>
        <v>#REF!</v>
      </c>
      <c r="M27" s="268" t="e">
        <f>#REF!+#REF!</f>
        <v>#REF!</v>
      </c>
      <c r="N27" s="270" t="e">
        <f t="shared" si="1"/>
        <v>#REF!</v>
      </c>
      <c r="O27" s="268" t="e">
        <f t="shared" si="8"/>
        <v>#REF!</v>
      </c>
      <c r="P27" s="268" t="e">
        <f t="shared" si="9"/>
        <v>#REF!</v>
      </c>
      <c r="Q27" s="268" t="e">
        <f t="shared" si="10"/>
        <v>#REF!</v>
      </c>
      <c r="R27" s="268" t="e">
        <f t="shared" si="2"/>
        <v>#REF!</v>
      </c>
      <c r="S27" s="268" t="e">
        <f t="shared" si="11"/>
        <v>#REF!</v>
      </c>
      <c r="T27" s="271">
        <v>30</v>
      </c>
      <c r="U27" s="272" t="e">
        <f t="shared" si="12"/>
        <v>#REF!</v>
      </c>
      <c r="V27" s="377">
        <f>(2029600)/12</f>
        <v>169133.33333333334</v>
      </c>
      <c r="W27" s="216">
        <v>7535856</v>
      </c>
      <c r="X27" s="216" t="s">
        <v>160</v>
      </c>
      <c r="Y27" s="216"/>
      <c r="Z27" s="216"/>
      <c r="AA27" s="216">
        <f>+W27+Y27</f>
        <v>7535856</v>
      </c>
      <c r="AB27" s="217">
        <f t="shared" si="13"/>
        <v>627988</v>
      </c>
      <c r="AC27" s="216"/>
      <c r="AD27" s="216"/>
      <c r="AE27" s="216"/>
      <c r="AF27" s="216"/>
      <c r="AG27" s="216">
        <f>+AC27+AE27</f>
        <v>0</v>
      </c>
      <c r="AH27" s="217">
        <f t="shared" si="14"/>
        <v>0</v>
      </c>
      <c r="AI27" s="217"/>
      <c r="AJ27" s="221"/>
      <c r="AK27" s="216">
        <v>0</v>
      </c>
      <c r="AL27" s="216"/>
      <c r="AM27" s="216"/>
      <c r="AN27" s="216"/>
      <c r="AO27" s="216">
        <f t="shared" si="5"/>
        <v>0</v>
      </c>
      <c r="AP27" s="218">
        <f t="shared" si="16"/>
        <v>0</v>
      </c>
      <c r="AQ27" s="216"/>
      <c r="AR27" s="216"/>
      <c r="AS27" s="216"/>
      <c r="AT27" s="216"/>
      <c r="AU27" s="216"/>
      <c r="AV27" s="219">
        <f t="shared" si="17"/>
        <v>0</v>
      </c>
      <c r="AW27" s="217">
        <f t="shared" si="6"/>
        <v>2684000</v>
      </c>
      <c r="AX27" s="220">
        <f t="shared" si="18"/>
        <v>0</v>
      </c>
      <c r="AY27" s="216" t="e">
        <f t="shared" si="19"/>
        <v>#REF!</v>
      </c>
      <c r="AZ27" s="216" t="e">
        <f t="shared" si="20"/>
        <v>#REF!</v>
      </c>
      <c r="BA27" s="319" t="e">
        <f t="shared" si="21"/>
        <v>#REF!</v>
      </c>
      <c r="BB27" s="320">
        <f t="shared" si="7"/>
        <v>0</v>
      </c>
      <c r="BC27" s="207"/>
      <c r="BD27" s="207"/>
    </row>
    <row r="28" spans="1:56" ht="11.25" customHeight="1">
      <c r="A28" s="273" t="e">
        <f>#REF!</f>
        <v>#REF!</v>
      </c>
      <c r="B28" s="268" t="s">
        <v>158</v>
      </c>
      <c r="C28" s="266" t="e">
        <f>#REF!</f>
        <v>#REF!</v>
      </c>
      <c r="D28" s="274" t="s">
        <v>167</v>
      </c>
      <c r="E28" s="271" t="e">
        <f>#REF!</f>
        <v>#REF!</v>
      </c>
      <c r="F28" s="271" t="e">
        <f>#REF!</f>
        <v>#REF!</v>
      </c>
      <c r="G28" s="267" t="s">
        <v>166</v>
      </c>
      <c r="H28" s="268" t="e">
        <f>#REF!-#REF!-#REF!-#REF!-#REF!-#REF!</f>
        <v>#REF!</v>
      </c>
      <c r="I28" s="269">
        <v>0</v>
      </c>
      <c r="J28" s="268" t="e">
        <f t="shared" si="0"/>
        <v>#REF!</v>
      </c>
      <c r="K28" s="268" t="e">
        <f>#REF!+#REF!</f>
        <v>#REF!</v>
      </c>
      <c r="L28" s="268" t="e">
        <f>+#REF!</f>
        <v>#REF!</v>
      </c>
      <c r="M28" s="268" t="e">
        <f>#REF!+#REF!</f>
        <v>#REF!</v>
      </c>
      <c r="N28" s="270" t="e">
        <f t="shared" si="1"/>
        <v>#REF!</v>
      </c>
      <c r="O28" s="268" t="e">
        <f t="shared" si="8"/>
        <v>#REF!</v>
      </c>
      <c r="P28" s="268" t="e">
        <f t="shared" si="9"/>
        <v>#REF!</v>
      </c>
      <c r="Q28" s="268" t="e">
        <f t="shared" si="10"/>
        <v>#REF!</v>
      </c>
      <c r="R28" s="268" t="e">
        <f t="shared" si="2"/>
        <v>#REF!</v>
      </c>
      <c r="S28" s="268" t="e">
        <f t="shared" si="11"/>
        <v>#REF!</v>
      </c>
      <c r="T28" s="271" t="e">
        <f>#REF!</f>
        <v>#REF!</v>
      </c>
      <c r="U28" s="272" t="e">
        <f t="shared" si="12"/>
        <v>#REF!</v>
      </c>
      <c r="V28" s="377" t="e">
        <f>#REF!</f>
        <v>#REF!</v>
      </c>
      <c r="W28" s="216">
        <v>0</v>
      </c>
      <c r="X28" s="216"/>
      <c r="Y28" s="216"/>
      <c r="Z28" s="216"/>
      <c r="AA28" s="216">
        <f t="shared" si="3"/>
        <v>0</v>
      </c>
      <c r="AB28" s="217">
        <f t="shared" si="13"/>
        <v>0</v>
      </c>
      <c r="AC28" s="216">
        <v>0</v>
      </c>
      <c r="AD28" s="216"/>
      <c r="AE28" s="216"/>
      <c r="AF28" s="216"/>
      <c r="AG28" s="216">
        <f t="shared" si="4"/>
        <v>0</v>
      </c>
      <c r="AH28" s="217">
        <f t="shared" si="14"/>
        <v>0</v>
      </c>
      <c r="AI28" s="217">
        <f t="shared" si="15"/>
        <v>0</v>
      </c>
      <c r="AJ28" s="221">
        <v>0</v>
      </c>
      <c r="AK28" s="216">
        <v>0</v>
      </c>
      <c r="AL28" s="216"/>
      <c r="AM28" s="216"/>
      <c r="AN28" s="216"/>
      <c r="AO28" s="216">
        <f t="shared" si="5"/>
        <v>0</v>
      </c>
      <c r="AP28" s="218">
        <f t="shared" si="16"/>
        <v>0</v>
      </c>
      <c r="AQ28" s="216"/>
      <c r="AR28" s="216"/>
      <c r="AS28" s="216"/>
      <c r="AT28" s="216"/>
      <c r="AU28" s="216"/>
      <c r="AV28" s="219">
        <f t="shared" si="17"/>
        <v>0</v>
      </c>
      <c r="AW28" s="217">
        <f t="shared" si="6"/>
        <v>2684000</v>
      </c>
      <c r="AX28" s="220">
        <f t="shared" si="18"/>
        <v>0</v>
      </c>
      <c r="AY28" s="216" t="e">
        <f t="shared" si="19"/>
        <v>#REF!</v>
      </c>
      <c r="AZ28" s="216" t="e">
        <f t="shared" si="20"/>
        <v>#REF!</v>
      </c>
      <c r="BA28" s="319" t="e">
        <f t="shared" si="21"/>
        <v>#REF!</v>
      </c>
      <c r="BB28" s="320">
        <f t="shared" si="7"/>
        <v>0</v>
      </c>
      <c r="BC28" s="207"/>
      <c r="BD28" s="207"/>
    </row>
    <row r="29" spans="1:56" ht="11.25" customHeight="1">
      <c r="A29" s="273" t="e">
        <f>#REF!</f>
        <v>#REF!</v>
      </c>
      <c r="B29" s="268" t="s">
        <v>158</v>
      </c>
      <c r="C29" s="266" t="e">
        <f>#REF!</f>
        <v>#REF!</v>
      </c>
      <c r="D29" s="274" t="s">
        <v>118</v>
      </c>
      <c r="E29" s="271" t="e">
        <f>#REF!</f>
        <v>#REF!</v>
      </c>
      <c r="F29" s="271" t="e">
        <f>#REF!</f>
        <v>#REF!</v>
      </c>
      <c r="G29" s="267" t="s">
        <v>166</v>
      </c>
      <c r="H29" s="268" t="e">
        <f>#REF!-#REF!-#REF!-#REF!-#REF!-#REF!</f>
        <v>#REF!</v>
      </c>
      <c r="I29" s="269">
        <v>0</v>
      </c>
      <c r="J29" s="268" t="e">
        <f t="shared" si="0"/>
        <v>#REF!</v>
      </c>
      <c r="K29" s="268" t="e">
        <f>#REF!+#REF!</f>
        <v>#REF!</v>
      </c>
      <c r="L29" s="268" t="e">
        <f>+#REF!</f>
        <v>#REF!</v>
      </c>
      <c r="M29" s="268" t="e">
        <f>#REF!+#REF!</f>
        <v>#REF!</v>
      </c>
      <c r="N29" s="270" t="e">
        <f t="shared" si="1"/>
        <v>#REF!</v>
      </c>
      <c r="O29" s="268" t="e">
        <f t="shared" si="8"/>
        <v>#REF!</v>
      </c>
      <c r="P29" s="268" t="e">
        <f t="shared" si="9"/>
        <v>#REF!</v>
      </c>
      <c r="Q29" s="268" t="e">
        <f t="shared" si="10"/>
        <v>#REF!</v>
      </c>
      <c r="R29" s="268" t="e">
        <f t="shared" si="2"/>
        <v>#REF!</v>
      </c>
      <c r="S29" s="268" t="e">
        <f t="shared" si="11"/>
        <v>#REF!</v>
      </c>
      <c r="T29" s="271" t="e">
        <f>#REF!</f>
        <v>#REF!</v>
      </c>
      <c r="U29" s="272" t="e">
        <f t="shared" si="12"/>
        <v>#REF!</v>
      </c>
      <c r="V29" s="377" t="e">
        <f>#REF!</f>
        <v>#REF!</v>
      </c>
      <c r="W29" s="216">
        <v>0</v>
      </c>
      <c r="X29" s="216"/>
      <c r="Y29" s="216"/>
      <c r="Z29" s="216"/>
      <c r="AA29" s="216">
        <f>+W29+Y29</f>
        <v>0</v>
      </c>
      <c r="AB29" s="217">
        <f t="shared" si="13"/>
        <v>0</v>
      </c>
      <c r="AC29" s="216">
        <v>0</v>
      </c>
      <c r="AD29" s="216"/>
      <c r="AE29" s="216"/>
      <c r="AF29" s="216"/>
      <c r="AG29" s="216">
        <f>+AC29+AE29</f>
        <v>0</v>
      </c>
      <c r="AH29" s="217">
        <f t="shared" si="14"/>
        <v>0</v>
      </c>
      <c r="AI29" s="217">
        <f t="shared" si="15"/>
        <v>0</v>
      </c>
      <c r="AJ29" s="221">
        <v>0</v>
      </c>
      <c r="AK29" s="216">
        <v>0</v>
      </c>
      <c r="AL29" s="216"/>
      <c r="AM29" s="216"/>
      <c r="AN29" s="216"/>
      <c r="AO29" s="216">
        <f>+AK29+AM29</f>
        <v>0</v>
      </c>
      <c r="AP29" s="218">
        <f t="shared" si="16"/>
        <v>0</v>
      </c>
      <c r="AQ29" s="216"/>
      <c r="AR29" s="216"/>
      <c r="AS29" s="216"/>
      <c r="AT29" s="216"/>
      <c r="AU29" s="216"/>
      <c r="AV29" s="219">
        <f>AP29+AU29</f>
        <v>0</v>
      </c>
      <c r="AW29" s="217">
        <f t="shared" si="6"/>
        <v>2684000</v>
      </c>
      <c r="AX29" s="220">
        <f t="shared" si="18"/>
        <v>0</v>
      </c>
      <c r="AY29" s="216" t="e">
        <f>ROUND((U29*30%),0)</f>
        <v>#REF!</v>
      </c>
      <c r="AZ29" s="216" t="e">
        <f>IF(BA29&lt;115607000,(U29-AJ29-AV29),(U29-AV29))-V29</f>
        <v>#REF!</v>
      </c>
      <c r="BA29" s="319" t="e">
        <f>S29</f>
        <v>#REF!</v>
      </c>
      <c r="BB29" s="320">
        <f>IF((AI29&gt;AJ29),(AJ29+AV29),(AI29+AV29))</f>
        <v>0</v>
      </c>
      <c r="BC29" s="207"/>
      <c r="BD29" s="207"/>
    </row>
    <row r="30" spans="1:56" ht="11.25" customHeight="1">
      <c r="A30" s="273" t="e">
        <f>#REF!</f>
        <v>#REF!</v>
      </c>
      <c r="B30" s="268" t="s">
        <v>158</v>
      </c>
      <c r="C30" s="266" t="e">
        <f>#REF!</f>
        <v>#REF!</v>
      </c>
      <c r="D30" s="274" t="s">
        <v>119</v>
      </c>
      <c r="E30" s="271" t="e">
        <f>#REF!</f>
        <v>#REF!</v>
      </c>
      <c r="F30" s="271" t="e">
        <f>#REF!</f>
        <v>#REF!</v>
      </c>
      <c r="G30" s="267" t="s">
        <v>161</v>
      </c>
      <c r="H30" s="268" t="e">
        <f>#REF!-#REF!-#REF!-#REF!-#REF!-#REF!</f>
        <v>#REF!</v>
      </c>
      <c r="I30" s="269">
        <v>0</v>
      </c>
      <c r="J30" s="268" t="e">
        <f t="shared" si="0"/>
        <v>#REF!</v>
      </c>
      <c r="K30" s="268" t="e">
        <f>#REF!+#REF!</f>
        <v>#REF!</v>
      </c>
      <c r="L30" s="268" t="e">
        <f>+#REF!</f>
        <v>#REF!</v>
      </c>
      <c r="M30" s="268" t="e">
        <f>#REF!+#REF!</f>
        <v>#REF!</v>
      </c>
      <c r="N30" s="270" t="e">
        <f t="shared" si="1"/>
        <v>#REF!</v>
      </c>
      <c r="O30" s="268" t="e">
        <f t="shared" si="8"/>
        <v>#REF!</v>
      </c>
      <c r="P30" s="268" t="e">
        <f t="shared" si="9"/>
        <v>#REF!</v>
      </c>
      <c r="Q30" s="268" t="e">
        <f t="shared" si="10"/>
        <v>#REF!</v>
      </c>
      <c r="R30" s="268" t="e">
        <f t="shared" si="2"/>
        <v>#REF!</v>
      </c>
      <c r="S30" s="268" t="e">
        <f t="shared" si="11"/>
        <v>#REF!</v>
      </c>
      <c r="T30" s="271" t="e">
        <f>#REF!</f>
        <v>#REF!</v>
      </c>
      <c r="U30" s="272" t="e">
        <f t="shared" si="12"/>
        <v>#REF!</v>
      </c>
      <c r="V30" s="377">
        <f>(993000)/12</f>
        <v>82750</v>
      </c>
      <c r="W30" s="216">
        <v>0</v>
      </c>
      <c r="X30" s="216"/>
      <c r="Y30" s="216"/>
      <c r="Z30" s="216"/>
      <c r="AA30" s="216">
        <f t="shared" si="3"/>
        <v>0</v>
      </c>
      <c r="AB30" s="217">
        <f t="shared" si="13"/>
        <v>0</v>
      </c>
      <c r="AC30" s="216">
        <v>0</v>
      </c>
      <c r="AD30" s="216"/>
      <c r="AE30" s="216"/>
      <c r="AF30" s="216"/>
      <c r="AG30" s="216">
        <f t="shared" si="4"/>
        <v>0</v>
      </c>
      <c r="AH30" s="217">
        <f t="shared" si="14"/>
        <v>0</v>
      </c>
      <c r="AI30" s="217">
        <f t="shared" si="15"/>
        <v>0</v>
      </c>
      <c r="AJ30" s="221">
        <v>0</v>
      </c>
      <c r="AK30" s="216">
        <v>0</v>
      </c>
      <c r="AL30" s="216"/>
      <c r="AM30" s="216"/>
      <c r="AN30" s="216"/>
      <c r="AO30" s="216">
        <f t="shared" si="5"/>
        <v>0</v>
      </c>
      <c r="AP30" s="218">
        <f t="shared" si="16"/>
        <v>0</v>
      </c>
      <c r="AQ30" s="216"/>
      <c r="AR30" s="216"/>
      <c r="AS30" s="216"/>
      <c r="AT30" s="216"/>
      <c r="AU30" s="216"/>
      <c r="AV30" s="219">
        <f t="shared" si="17"/>
        <v>0</v>
      </c>
      <c r="AW30" s="217">
        <f t="shared" si="6"/>
        <v>2684000</v>
      </c>
      <c r="AX30" s="220">
        <f t="shared" si="18"/>
        <v>0</v>
      </c>
      <c r="AY30" s="216" t="e">
        <f t="shared" si="19"/>
        <v>#REF!</v>
      </c>
      <c r="AZ30" s="216" t="e">
        <f t="shared" si="20"/>
        <v>#REF!</v>
      </c>
      <c r="BA30" s="319" t="e">
        <f t="shared" si="21"/>
        <v>#REF!</v>
      </c>
      <c r="BB30" s="320">
        <f t="shared" si="7"/>
        <v>0</v>
      </c>
      <c r="BC30" s="207"/>
      <c r="BD30" s="207"/>
    </row>
    <row r="31" spans="1:56" ht="11.25">
      <c r="A31" s="273" t="e">
        <f>#REF!</f>
        <v>#REF!</v>
      </c>
      <c r="B31" s="268" t="s">
        <v>158</v>
      </c>
      <c r="C31" s="266" t="e">
        <f>#REF!</f>
        <v>#REF!</v>
      </c>
      <c r="D31" s="274" t="s">
        <v>118</v>
      </c>
      <c r="E31" s="271" t="e">
        <f>#REF!</f>
        <v>#REF!</v>
      </c>
      <c r="F31" s="271" t="e">
        <f>#REF!</f>
        <v>#REF!</v>
      </c>
      <c r="G31" s="267" t="s">
        <v>166</v>
      </c>
      <c r="H31" s="268" t="e">
        <f>#REF!-#REF!-#REF!-#REF!-#REF!-#REF!</f>
        <v>#REF!</v>
      </c>
      <c r="I31" s="269">
        <v>0</v>
      </c>
      <c r="J31" s="268" t="e">
        <f t="shared" si="0"/>
        <v>#REF!</v>
      </c>
      <c r="K31" s="268" t="e">
        <f>#REF!+#REF!</f>
        <v>#REF!</v>
      </c>
      <c r="L31" s="268" t="e">
        <f>+#REF!</f>
        <v>#REF!</v>
      </c>
      <c r="M31" s="268" t="e">
        <f>#REF!+#REF!</f>
        <v>#REF!</v>
      </c>
      <c r="N31" s="270" t="e">
        <f t="shared" si="1"/>
        <v>#REF!</v>
      </c>
      <c r="O31" s="268" t="e">
        <f t="shared" si="8"/>
        <v>#REF!</v>
      </c>
      <c r="P31" s="268" t="e">
        <f t="shared" si="9"/>
        <v>#REF!</v>
      </c>
      <c r="Q31" s="268" t="e">
        <f t="shared" si="10"/>
        <v>#REF!</v>
      </c>
      <c r="R31" s="268" t="e">
        <f t="shared" si="2"/>
        <v>#REF!</v>
      </c>
      <c r="S31" s="268" t="e">
        <f t="shared" si="11"/>
        <v>#REF!</v>
      </c>
      <c r="T31" s="271" t="e">
        <f>#REF!</f>
        <v>#REF!</v>
      </c>
      <c r="U31" s="272" t="e">
        <f t="shared" si="12"/>
        <v>#REF!</v>
      </c>
      <c r="V31" s="377" t="e">
        <f>#REF!</f>
        <v>#REF!</v>
      </c>
      <c r="W31" s="216">
        <v>3555552</v>
      </c>
      <c r="X31" s="216" t="s">
        <v>160</v>
      </c>
      <c r="Y31" s="216"/>
      <c r="Z31" s="216"/>
      <c r="AA31" s="216">
        <f t="shared" si="3"/>
        <v>3555552</v>
      </c>
      <c r="AB31" s="217">
        <f t="shared" si="13"/>
        <v>296296</v>
      </c>
      <c r="AC31" s="216">
        <v>0</v>
      </c>
      <c r="AD31" s="216"/>
      <c r="AE31" s="216"/>
      <c r="AF31" s="216"/>
      <c r="AG31" s="216">
        <f t="shared" si="4"/>
        <v>0</v>
      </c>
      <c r="AH31" s="217">
        <f t="shared" si="14"/>
        <v>0</v>
      </c>
      <c r="AI31" s="217">
        <f t="shared" si="15"/>
        <v>296296</v>
      </c>
      <c r="AJ31" s="221">
        <v>296296</v>
      </c>
      <c r="AK31" s="216">
        <v>0</v>
      </c>
      <c r="AL31" s="216"/>
      <c r="AM31" s="216"/>
      <c r="AN31" s="216"/>
      <c r="AO31" s="216">
        <f t="shared" si="5"/>
        <v>0</v>
      </c>
      <c r="AP31" s="218">
        <f t="shared" si="16"/>
        <v>0</v>
      </c>
      <c r="AQ31" s="216"/>
      <c r="AR31" s="216"/>
      <c r="AS31" s="216"/>
      <c r="AT31" s="216"/>
      <c r="AU31" s="216"/>
      <c r="AV31" s="219">
        <f t="shared" si="17"/>
        <v>0</v>
      </c>
      <c r="AW31" s="217">
        <f t="shared" si="6"/>
        <v>2684000</v>
      </c>
      <c r="AX31" s="220">
        <f t="shared" si="18"/>
        <v>296296</v>
      </c>
      <c r="AY31" s="216" t="e">
        <f t="shared" si="19"/>
        <v>#REF!</v>
      </c>
      <c r="AZ31" s="216" t="e">
        <f t="shared" si="20"/>
        <v>#REF!</v>
      </c>
      <c r="BA31" s="319" t="e">
        <f t="shared" si="21"/>
        <v>#REF!</v>
      </c>
      <c r="BB31" s="320">
        <f t="shared" si="7"/>
        <v>296296</v>
      </c>
      <c r="BC31" s="207"/>
      <c r="BD31" s="207"/>
    </row>
    <row r="32" spans="1:56" ht="11.25">
      <c r="A32" s="273" t="e">
        <f>#REF!</f>
        <v>#REF!</v>
      </c>
      <c r="B32" s="268" t="s">
        <v>158</v>
      </c>
      <c r="C32" s="266" t="e">
        <f>#REF!</f>
        <v>#REF!</v>
      </c>
      <c r="D32" s="274" t="s">
        <v>164</v>
      </c>
      <c r="E32" s="271" t="e">
        <f>#REF!</f>
        <v>#REF!</v>
      </c>
      <c r="F32" s="271" t="e">
        <f>#REF!</f>
        <v>#REF!</v>
      </c>
      <c r="G32" s="267" t="s">
        <v>166</v>
      </c>
      <c r="H32" s="268" t="e">
        <f>#REF!-#REF!-#REF!-#REF!-#REF!-#REF!</f>
        <v>#REF!</v>
      </c>
      <c r="I32" s="269">
        <v>0</v>
      </c>
      <c r="J32" s="268" t="e">
        <f t="shared" si="0"/>
        <v>#REF!</v>
      </c>
      <c r="K32" s="268" t="e">
        <f>#REF!+#REF!</f>
        <v>#REF!</v>
      </c>
      <c r="L32" s="268" t="e">
        <f>+#REF!</f>
        <v>#REF!</v>
      </c>
      <c r="M32" s="268" t="e">
        <f>#REF!+#REF!</f>
        <v>#REF!</v>
      </c>
      <c r="N32" s="270" t="e">
        <f t="shared" si="1"/>
        <v>#REF!</v>
      </c>
      <c r="O32" s="268" t="e">
        <f t="shared" si="8"/>
        <v>#REF!</v>
      </c>
      <c r="P32" s="268" t="e">
        <f t="shared" si="9"/>
        <v>#REF!</v>
      </c>
      <c r="Q32" s="268" t="e">
        <f t="shared" si="10"/>
        <v>#REF!</v>
      </c>
      <c r="R32" s="268" t="e">
        <f t="shared" si="2"/>
        <v>#REF!</v>
      </c>
      <c r="S32" s="268" t="e">
        <f t="shared" si="11"/>
        <v>#REF!</v>
      </c>
      <c r="T32" s="271">
        <v>30</v>
      </c>
      <c r="U32" s="272" t="e">
        <f t="shared" si="12"/>
        <v>#REF!</v>
      </c>
      <c r="V32" s="377" t="e">
        <f>#REF!</f>
        <v>#REF!</v>
      </c>
      <c r="W32" s="216"/>
      <c r="X32" s="216"/>
      <c r="Y32" s="216"/>
      <c r="Z32" s="216"/>
      <c r="AA32" s="216">
        <f>+W32+Y32</f>
        <v>0</v>
      </c>
      <c r="AB32" s="217">
        <f t="shared" si="13"/>
        <v>0</v>
      </c>
      <c r="AC32" s="216">
        <v>0</v>
      </c>
      <c r="AD32" s="216"/>
      <c r="AE32" s="216"/>
      <c r="AF32" s="216"/>
      <c r="AG32" s="216">
        <f t="shared" si="4"/>
        <v>0</v>
      </c>
      <c r="AH32" s="217">
        <f t="shared" si="14"/>
        <v>0</v>
      </c>
      <c r="AI32" s="217">
        <f t="shared" si="15"/>
        <v>0</v>
      </c>
      <c r="AJ32" s="221"/>
      <c r="AK32" s="216">
        <v>0</v>
      </c>
      <c r="AL32" s="216"/>
      <c r="AM32" s="216"/>
      <c r="AN32" s="216"/>
      <c r="AO32" s="216">
        <f>+AK32+AM32</f>
        <v>0</v>
      </c>
      <c r="AP32" s="218">
        <f t="shared" si="16"/>
        <v>0</v>
      </c>
      <c r="AQ32" s="216"/>
      <c r="AR32" s="216"/>
      <c r="AS32" s="216"/>
      <c r="AT32" s="216"/>
      <c r="AU32" s="216"/>
      <c r="AV32" s="219">
        <f t="shared" si="17"/>
        <v>0</v>
      </c>
      <c r="AW32" s="217">
        <f t="shared" si="6"/>
        <v>2684000</v>
      </c>
      <c r="AX32" s="220">
        <f t="shared" si="18"/>
        <v>0</v>
      </c>
      <c r="AY32" s="216" t="e">
        <f t="shared" si="19"/>
        <v>#REF!</v>
      </c>
      <c r="AZ32" s="216" t="e">
        <f t="shared" si="20"/>
        <v>#REF!</v>
      </c>
      <c r="BA32" s="319" t="e">
        <f t="shared" si="21"/>
        <v>#REF!</v>
      </c>
      <c r="BB32" s="320">
        <f t="shared" si="7"/>
        <v>0</v>
      </c>
      <c r="BC32" s="207"/>
      <c r="BD32" s="207"/>
    </row>
    <row r="33" spans="1:56" s="205" customFormat="1" ht="11.25">
      <c r="A33" s="273" t="e">
        <f>#REF!</f>
        <v>#REF!</v>
      </c>
      <c r="B33" s="268" t="s">
        <v>158</v>
      </c>
      <c r="C33" s="266" t="e">
        <f>#REF!</f>
        <v>#REF!</v>
      </c>
      <c r="D33" s="266" t="s">
        <v>165</v>
      </c>
      <c r="E33" s="271" t="e">
        <f>#REF!</f>
        <v>#REF!</v>
      </c>
      <c r="F33" s="271" t="e">
        <f>#REF!</f>
        <v>#REF!</v>
      </c>
      <c r="G33" s="267" t="s">
        <v>166</v>
      </c>
      <c r="H33" s="268" t="e">
        <f>#REF!-#REF!-#REF!-#REF!-#REF!-#REF!</f>
        <v>#REF!</v>
      </c>
      <c r="I33" s="269">
        <v>0</v>
      </c>
      <c r="J33" s="268" t="e">
        <f t="shared" si="0"/>
        <v>#REF!</v>
      </c>
      <c r="K33" s="268" t="e">
        <f>#REF!+#REF!</f>
        <v>#REF!</v>
      </c>
      <c r="L33" s="268" t="e">
        <f>+#REF!</f>
        <v>#REF!</v>
      </c>
      <c r="M33" s="268" t="e">
        <f>#REF!+#REF!</f>
        <v>#REF!</v>
      </c>
      <c r="N33" s="270" t="e">
        <f t="shared" si="1"/>
        <v>#REF!</v>
      </c>
      <c r="O33" s="268" t="e">
        <f t="shared" si="8"/>
        <v>#REF!</v>
      </c>
      <c r="P33" s="268" t="e">
        <f t="shared" si="9"/>
        <v>#REF!</v>
      </c>
      <c r="Q33" s="268" t="e">
        <f t="shared" si="10"/>
        <v>#REF!</v>
      </c>
      <c r="R33" s="268" t="e">
        <f t="shared" si="2"/>
        <v>#REF!</v>
      </c>
      <c r="S33" s="268" t="e">
        <f t="shared" si="11"/>
        <v>#REF!</v>
      </c>
      <c r="T33" s="271" t="e">
        <f>#REF!</f>
        <v>#REF!</v>
      </c>
      <c r="U33" s="272" t="e">
        <f t="shared" si="12"/>
        <v>#REF!</v>
      </c>
      <c r="V33" s="377" t="e">
        <f>#REF!</f>
        <v>#REF!</v>
      </c>
      <c r="W33" s="216">
        <v>26606000</v>
      </c>
      <c r="X33" s="216" t="s">
        <v>160</v>
      </c>
      <c r="Y33" s="216"/>
      <c r="Z33" s="216"/>
      <c r="AA33" s="216">
        <f>+W33+Y33</f>
        <v>26606000</v>
      </c>
      <c r="AB33" s="217">
        <f t="shared" si="13"/>
        <v>2217166.6666666665</v>
      </c>
      <c r="AC33" s="216">
        <v>0</v>
      </c>
      <c r="AD33" s="216"/>
      <c r="AE33" s="216"/>
      <c r="AF33" s="216"/>
      <c r="AG33" s="216">
        <f>+AC33+AE33</f>
        <v>0</v>
      </c>
      <c r="AH33" s="217">
        <f t="shared" si="14"/>
        <v>0</v>
      </c>
      <c r="AI33" s="217">
        <f t="shared" si="15"/>
        <v>2217166.6666666665</v>
      </c>
      <c r="AJ33" s="221">
        <v>586233</v>
      </c>
      <c r="AK33" s="216">
        <v>0</v>
      </c>
      <c r="AL33" s="216"/>
      <c r="AM33" s="216"/>
      <c r="AN33" s="216"/>
      <c r="AO33" s="216">
        <f>+AK33+AM33</f>
        <v>0</v>
      </c>
      <c r="AP33" s="218">
        <f t="shared" si="16"/>
        <v>0</v>
      </c>
      <c r="AQ33" s="216"/>
      <c r="AR33" s="216"/>
      <c r="AS33" s="216"/>
      <c r="AT33" s="216"/>
      <c r="AU33" s="216"/>
      <c r="AV33" s="219">
        <f>AP33+AU33</f>
        <v>0</v>
      </c>
      <c r="AW33" s="217">
        <f t="shared" si="6"/>
        <v>2684000</v>
      </c>
      <c r="AX33" s="220">
        <f t="shared" si="18"/>
        <v>586233</v>
      </c>
      <c r="AY33" s="216" t="e">
        <f>ROUND((U33*30%),0)</f>
        <v>#REF!</v>
      </c>
      <c r="AZ33" s="216" t="e">
        <f>IF(BA33&lt;115607000,(U33-AJ33-AV33),(U33-AV33))-V33</f>
        <v>#REF!</v>
      </c>
      <c r="BA33" s="319" t="e">
        <f>S33</f>
        <v>#REF!</v>
      </c>
      <c r="BB33" s="320">
        <f t="shared" si="7"/>
        <v>586233</v>
      </c>
      <c r="BC33" s="207"/>
      <c r="BD33" s="207"/>
    </row>
    <row r="34" spans="1:56" s="205" customFormat="1" ht="11.25">
      <c r="A34" s="275"/>
      <c r="B34" s="276"/>
      <c r="C34" s="277"/>
      <c r="D34" s="291"/>
      <c r="E34" s="278"/>
      <c r="F34" s="278"/>
      <c r="G34" s="278"/>
      <c r="H34" s="279"/>
      <c r="I34" s="280"/>
      <c r="J34" s="279"/>
      <c r="K34" s="279"/>
      <c r="L34" s="279"/>
      <c r="M34" s="279"/>
      <c r="N34" s="279"/>
      <c r="O34" s="279"/>
      <c r="P34" s="279"/>
      <c r="Q34" s="279"/>
      <c r="R34" s="279"/>
      <c r="S34" s="279"/>
      <c r="T34" s="281"/>
      <c r="U34" s="282"/>
      <c r="V34" s="279"/>
      <c r="W34" s="222"/>
      <c r="X34" s="222"/>
      <c r="Y34" s="222"/>
      <c r="Z34" s="222"/>
      <c r="AA34" s="222"/>
      <c r="AB34" s="350"/>
      <c r="AC34" s="222"/>
      <c r="AD34" s="222"/>
      <c r="AE34" s="222"/>
      <c r="AF34" s="222"/>
      <c r="AG34" s="222"/>
      <c r="AH34" s="350"/>
      <c r="AI34" s="350"/>
      <c r="AJ34" s="350"/>
      <c r="AK34" s="222"/>
      <c r="AL34" s="222"/>
      <c r="AM34" s="222"/>
      <c r="AN34" s="222"/>
      <c r="AO34" s="222"/>
      <c r="AP34" s="351"/>
      <c r="AQ34" s="222"/>
      <c r="AR34" s="222"/>
      <c r="AS34" s="222"/>
      <c r="AT34" s="222"/>
      <c r="AU34" s="222"/>
      <c r="AV34" s="350"/>
      <c r="AW34" s="350"/>
      <c r="AX34" s="222"/>
      <c r="AY34" s="222"/>
      <c r="AZ34" s="222"/>
      <c r="BA34" s="222"/>
      <c r="BB34" s="352"/>
      <c r="BC34" s="207"/>
      <c r="BD34" s="207"/>
    </row>
    <row r="35" spans="1:56" s="205" customFormat="1" ht="11.25">
      <c r="A35" s="275"/>
      <c r="B35" s="276"/>
      <c r="C35" s="277"/>
      <c r="D35" s="291"/>
      <c r="E35" s="278"/>
      <c r="F35" s="278"/>
      <c r="G35" s="278"/>
      <c r="H35" s="279"/>
      <c r="I35" s="280"/>
      <c r="J35" s="279"/>
      <c r="K35" s="279"/>
      <c r="L35" s="279"/>
      <c r="M35" s="279"/>
      <c r="N35" s="279"/>
      <c r="O35" s="279"/>
      <c r="P35" s="279"/>
      <c r="Q35" s="279"/>
      <c r="R35" s="279"/>
      <c r="S35" s="279"/>
      <c r="T35" s="281"/>
      <c r="U35" s="282"/>
      <c r="V35" s="279"/>
      <c r="W35" s="222"/>
      <c r="X35" s="222"/>
      <c r="Y35" s="222"/>
      <c r="Z35" s="222"/>
      <c r="AA35" s="222"/>
      <c r="AB35" s="350"/>
      <c r="AC35" s="222"/>
      <c r="AD35" s="222"/>
      <c r="AE35" s="222"/>
      <c r="AF35" s="222"/>
      <c r="AG35" s="222"/>
      <c r="AH35" s="350"/>
      <c r="AI35" s="350"/>
      <c r="AJ35" s="350"/>
      <c r="AK35" s="222"/>
      <c r="AL35" s="222"/>
      <c r="AM35" s="222"/>
      <c r="AN35" s="222"/>
      <c r="AO35" s="222"/>
      <c r="AP35" s="351"/>
      <c r="AQ35" s="222"/>
      <c r="AR35" s="222"/>
      <c r="AS35" s="222"/>
      <c r="AT35" s="222"/>
      <c r="AU35" s="222"/>
      <c r="AV35" s="350"/>
      <c r="AW35" s="350"/>
      <c r="AX35" s="222"/>
      <c r="AY35" s="222"/>
      <c r="AZ35" s="222"/>
      <c r="BA35" s="222"/>
      <c r="BB35" s="352"/>
      <c r="BC35" s="207"/>
      <c r="BD35" s="207"/>
    </row>
    <row r="36" spans="1:57" ht="11.25" customHeight="1">
      <c r="A36" s="283"/>
      <c r="B36" s="284"/>
      <c r="C36" s="285"/>
      <c r="D36" s="286"/>
      <c r="E36" s="285"/>
      <c r="F36" s="287"/>
      <c r="G36" s="287"/>
      <c r="H36" s="287"/>
      <c r="I36" s="288"/>
      <c r="J36" s="288"/>
      <c r="K36" s="288"/>
      <c r="L36" s="288"/>
      <c r="M36" s="288"/>
      <c r="N36" s="288"/>
      <c r="O36" s="288"/>
      <c r="P36" s="288">
        <f>ROUND(K36*30%,0)</f>
        <v>0</v>
      </c>
      <c r="Q36" s="288" t="e">
        <f>SUM(R4:R31)</f>
        <v>#REF!</v>
      </c>
      <c r="R36" s="288"/>
      <c r="S36" s="288"/>
      <c r="T36" s="289"/>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90"/>
      <c r="BC36" s="290"/>
      <c r="BD36" s="210"/>
      <c r="BE36" s="210"/>
    </row>
    <row r="37" spans="1:57" ht="12" thickBot="1">
      <c r="A37" s="275"/>
      <c r="B37" s="275"/>
      <c r="C37" s="291"/>
      <c r="D37" s="291"/>
      <c r="E37" s="291"/>
      <c r="F37" s="278"/>
      <c r="G37" s="278"/>
      <c r="H37" s="278"/>
      <c r="I37" s="292"/>
      <c r="J37" s="292"/>
      <c r="K37" s="292"/>
      <c r="L37" s="292"/>
      <c r="M37" s="292"/>
      <c r="N37" s="292"/>
      <c r="O37" s="292"/>
      <c r="P37" s="292"/>
      <c r="Q37" s="292"/>
      <c r="R37" s="292"/>
      <c r="S37" s="292"/>
      <c r="T37" s="293"/>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10"/>
      <c r="BC37" s="210"/>
      <c r="BD37" s="210"/>
      <c r="BE37" s="210"/>
    </row>
    <row r="38" spans="1:57" ht="12" thickBot="1">
      <c r="A38" s="224"/>
      <c r="B38" s="577" t="s">
        <v>168</v>
      </c>
      <c r="C38" s="577"/>
      <c r="D38" s="225" t="s">
        <v>169</v>
      </c>
      <c r="E38" s="225"/>
      <c r="F38" s="226"/>
      <c r="G38" s="226"/>
      <c r="H38" s="226"/>
      <c r="I38" s="226"/>
      <c r="J38" s="226"/>
      <c r="K38" s="226"/>
      <c r="L38" s="227"/>
      <c r="N38" s="278"/>
      <c r="O38" s="278"/>
      <c r="P38" s="278"/>
      <c r="Q38" s="278"/>
      <c r="R38" s="278"/>
      <c r="S38" s="278"/>
      <c r="T38" s="278"/>
      <c r="U38" s="278"/>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row>
    <row r="39" spans="1:57" ht="23.25" thickBot="1">
      <c r="A39" s="228"/>
      <c r="B39" s="229" t="s">
        <v>114</v>
      </c>
      <c r="C39" s="229" t="s">
        <v>115</v>
      </c>
      <c r="D39" s="229" t="s">
        <v>114</v>
      </c>
      <c r="E39" s="229" t="s">
        <v>115</v>
      </c>
      <c r="F39" s="230" t="s">
        <v>170</v>
      </c>
      <c r="G39" s="578"/>
      <c r="H39" s="579"/>
      <c r="I39" s="584" t="s">
        <v>171</v>
      </c>
      <c r="J39" s="585"/>
      <c r="K39" s="585"/>
      <c r="L39" s="586"/>
      <c r="N39" s="278"/>
      <c r="O39" s="278"/>
      <c r="P39" s="278"/>
      <c r="Q39" s="278"/>
      <c r="R39" s="278"/>
      <c r="S39" s="278"/>
      <c r="T39" s="278"/>
      <c r="U39" s="278"/>
      <c r="V39" s="207"/>
      <c r="W39" s="207"/>
      <c r="X39" s="207"/>
      <c r="Y39" s="207"/>
      <c r="Z39" s="207"/>
      <c r="AA39" s="207"/>
      <c r="AB39" s="207"/>
      <c r="AC39" s="207"/>
      <c r="AD39" s="207"/>
      <c r="AE39" s="207"/>
      <c r="AF39" s="207"/>
      <c r="AG39" s="207"/>
      <c r="AH39" s="207"/>
      <c r="AI39" s="207"/>
      <c r="AJ39" s="309"/>
      <c r="AK39" s="207"/>
      <c r="AL39" s="207"/>
      <c r="AM39" s="207"/>
      <c r="AN39" s="207"/>
      <c r="AO39" s="207"/>
      <c r="AP39" s="207"/>
      <c r="AQ39" s="207"/>
      <c r="AR39" s="207"/>
      <c r="AS39" s="207"/>
      <c r="AT39" s="207"/>
      <c r="AU39" s="207"/>
      <c r="AV39" s="207"/>
      <c r="AW39" s="207"/>
      <c r="AX39" s="207"/>
      <c r="AY39" s="207"/>
      <c r="AZ39" s="207"/>
      <c r="BA39" s="207"/>
      <c r="BB39" s="207"/>
      <c r="BC39" s="207"/>
      <c r="BD39" s="207"/>
      <c r="BE39" s="207"/>
    </row>
    <row r="40" spans="1:57" ht="12.75">
      <c r="A40" s="231" t="s">
        <v>172</v>
      </c>
      <c r="B40" s="232">
        <v>0</v>
      </c>
      <c r="C40" s="232">
        <f>+$D$46*E40</f>
        <v>2549895</v>
      </c>
      <c r="D40" s="233" t="s">
        <v>173</v>
      </c>
      <c r="E40" s="233">
        <v>95</v>
      </c>
      <c r="F40" s="234">
        <v>0</v>
      </c>
      <c r="G40" s="580"/>
      <c r="H40" s="581"/>
      <c r="I40" s="587"/>
      <c r="J40" s="588"/>
      <c r="K40" s="588"/>
      <c r="L40" s="589"/>
      <c r="N40" s="207"/>
      <c r="O40" s="207"/>
      <c r="P40" s="278"/>
      <c r="Q40" s="278"/>
      <c r="R40" s="278"/>
      <c r="S40" s="278"/>
      <c r="T40" s="278"/>
      <c r="U40" s="278"/>
      <c r="V40" s="389">
        <v>2091400</v>
      </c>
      <c r="W40" s="207"/>
      <c r="X40" s="207"/>
      <c r="Y40" s="207"/>
      <c r="Z40" s="207"/>
      <c r="AA40" s="207"/>
      <c r="AB40" s="207"/>
      <c r="AC40" s="207"/>
      <c r="AD40" s="207"/>
      <c r="AE40" s="207"/>
      <c r="AF40" s="207"/>
      <c r="AG40" s="207"/>
      <c r="AH40" s="207"/>
      <c r="AI40" s="207"/>
      <c r="AJ40" s="207"/>
      <c r="AK40" s="309"/>
      <c r="AL40" s="207"/>
      <c r="AM40" s="207"/>
      <c r="AN40" s="207"/>
      <c r="AO40" s="207"/>
      <c r="AP40" s="207"/>
      <c r="AQ40" s="207"/>
      <c r="AR40" s="207"/>
      <c r="AS40" s="207"/>
      <c r="AT40" s="207"/>
      <c r="AU40" s="207"/>
      <c r="AV40" s="207"/>
      <c r="AW40" s="207"/>
      <c r="AX40" s="207"/>
      <c r="AY40" s="207"/>
      <c r="AZ40" s="207"/>
      <c r="BA40" s="207"/>
      <c r="BB40" s="207"/>
      <c r="BC40" s="207"/>
      <c r="BD40" s="207"/>
      <c r="BE40" s="207"/>
    </row>
    <row r="41" spans="1:57" ht="12.75">
      <c r="A41" s="235" t="s">
        <v>174</v>
      </c>
      <c r="B41" s="236">
        <f>+C40+1</f>
        <v>2549896</v>
      </c>
      <c r="C41" s="236">
        <f>+$D$46*E41</f>
        <v>4026150</v>
      </c>
      <c r="D41" s="237" t="s">
        <v>175</v>
      </c>
      <c r="E41" s="237">
        <v>150</v>
      </c>
      <c r="F41" s="238">
        <v>0.19</v>
      </c>
      <c r="G41" s="580"/>
      <c r="H41" s="581"/>
      <c r="I41" s="239" t="s">
        <v>176</v>
      </c>
      <c r="J41" s="239"/>
      <c r="K41" s="240"/>
      <c r="L41" s="241"/>
      <c r="N41" s="278"/>
      <c r="O41" s="280"/>
      <c r="P41" s="278"/>
      <c r="Q41" s="278"/>
      <c r="R41" s="278"/>
      <c r="S41" s="278"/>
      <c r="T41" s="278"/>
      <c r="U41" s="278"/>
      <c r="V41" s="389">
        <f>+V40/12</f>
        <v>174283.33333333334</v>
      </c>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309"/>
      <c r="AZ41" s="207"/>
      <c r="BA41" s="207"/>
      <c r="BB41" s="207"/>
      <c r="BC41" s="207"/>
      <c r="BD41" s="207"/>
      <c r="BE41" s="207"/>
    </row>
    <row r="42" spans="1:57" ht="12.75">
      <c r="A42" s="235" t="s">
        <v>177</v>
      </c>
      <c r="B42" s="236">
        <f>+C41+1</f>
        <v>4026151</v>
      </c>
      <c r="C42" s="236">
        <f>+$D$46*E42</f>
        <v>9662760</v>
      </c>
      <c r="D42" s="237" t="s">
        <v>178</v>
      </c>
      <c r="E42" s="237">
        <v>360</v>
      </c>
      <c r="F42" s="238">
        <v>0.28</v>
      </c>
      <c r="G42" s="580"/>
      <c r="H42" s="581"/>
      <c r="I42" s="239" t="s">
        <v>179</v>
      </c>
      <c r="J42" s="239"/>
      <c r="K42" s="240"/>
      <c r="L42" s="241"/>
      <c r="N42" s="278"/>
      <c r="O42" s="278"/>
      <c r="P42" s="278"/>
      <c r="Q42" s="278"/>
      <c r="R42" s="278"/>
      <c r="S42" s="278"/>
      <c r="T42" s="278"/>
      <c r="U42" s="278"/>
      <c r="V42" s="389"/>
      <c r="W42" s="207"/>
      <c r="X42" s="207"/>
      <c r="Y42" s="207"/>
      <c r="Z42" s="207"/>
      <c r="AA42" s="207"/>
      <c r="AB42" s="207"/>
      <c r="AC42" s="207"/>
      <c r="AD42" s="207"/>
      <c r="AE42" s="207"/>
      <c r="AF42" s="207"/>
      <c r="AG42" s="207"/>
      <c r="AH42" s="207"/>
      <c r="AI42" s="207"/>
      <c r="AJ42" s="207"/>
      <c r="AK42" s="309"/>
      <c r="AL42" s="207"/>
      <c r="AM42" s="207"/>
      <c r="AN42" s="207"/>
      <c r="AO42" s="207"/>
      <c r="AP42" s="207"/>
      <c r="AQ42" s="207"/>
      <c r="AR42" s="207"/>
      <c r="AS42" s="207"/>
      <c r="AT42" s="207"/>
      <c r="AU42" s="207"/>
      <c r="AV42" s="207"/>
      <c r="AW42" s="207"/>
      <c r="AX42" s="207"/>
      <c r="AY42" s="207"/>
      <c r="AZ42" s="207"/>
      <c r="BA42" s="207"/>
      <c r="BB42" s="207"/>
      <c r="BC42" s="207"/>
      <c r="BD42" s="207"/>
      <c r="BE42" s="207"/>
    </row>
    <row r="43" spans="1:57" ht="13.5" thickBot="1">
      <c r="A43" s="242" t="s">
        <v>180</v>
      </c>
      <c r="B43" s="243">
        <f>+C42+1</f>
        <v>9662761</v>
      </c>
      <c r="C43" s="243"/>
      <c r="D43" s="244" t="s">
        <v>181</v>
      </c>
      <c r="E43" s="244">
        <v>999999</v>
      </c>
      <c r="F43" s="245">
        <v>0.33</v>
      </c>
      <c r="G43" s="582"/>
      <c r="H43" s="583"/>
      <c r="I43" s="246" t="s">
        <v>190</v>
      </c>
      <c r="J43" s="246"/>
      <c r="K43" s="247"/>
      <c r="L43" s="248"/>
      <c r="N43" s="278"/>
      <c r="O43" s="278"/>
      <c r="P43" s="278"/>
      <c r="Q43" s="278"/>
      <c r="R43" s="278"/>
      <c r="S43" s="278"/>
      <c r="T43" s="278"/>
      <c r="U43" s="278"/>
      <c r="V43" s="389"/>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row>
    <row r="44" spans="1:57" ht="13.5" thickBot="1">
      <c r="A44" s="206"/>
      <c r="B44" s="206"/>
      <c r="C44" s="206"/>
      <c r="D44" s="206"/>
      <c r="E44" s="206"/>
      <c r="F44" s="206"/>
      <c r="G44" s="206"/>
      <c r="H44" s="206"/>
      <c r="I44" s="206"/>
      <c r="J44" s="206"/>
      <c r="K44" s="206"/>
      <c r="L44" s="206"/>
      <c r="N44" s="278"/>
      <c r="O44" s="278"/>
      <c r="P44" s="278"/>
      <c r="Q44" s="278"/>
      <c r="R44" s="278"/>
      <c r="S44" s="278"/>
      <c r="T44" s="278"/>
      <c r="U44" s="278"/>
      <c r="V44" s="389"/>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row>
    <row r="45" spans="1:57" ht="11.25">
      <c r="A45" s="206"/>
      <c r="B45" s="294"/>
      <c r="C45" s="249" t="s">
        <v>182</v>
      </c>
      <c r="D45" s="250" t="s">
        <v>183</v>
      </c>
      <c r="E45" s="251" t="s">
        <v>184</v>
      </c>
      <c r="F45" s="206"/>
      <c r="G45" s="206"/>
      <c r="H45" s="206"/>
      <c r="I45" s="206"/>
      <c r="J45" s="206"/>
      <c r="K45" s="206"/>
      <c r="L45" s="206"/>
      <c r="N45" s="278"/>
      <c r="O45" s="278"/>
      <c r="P45" s="278"/>
      <c r="Q45" s="278"/>
      <c r="R45" s="278"/>
      <c r="S45" s="278"/>
      <c r="T45" s="278"/>
      <c r="U45" s="278"/>
      <c r="V45" s="207"/>
      <c r="W45" s="207"/>
      <c r="X45" s="207"/>
      <c r="Y45" s="207"/>
      <c r="Z45" s="207"/>
      <c r="AA45" s="207"/>
      <c r="AB45" s="207"/>
      <c r="AC45" s="207"/>
      <c r="AD45" s="207"/>
      <c r="AE45" s="295"/>
      <c r="AF45" s="207"/>
      <c r="AG45" s="207"/>
      <c r="AH45" s="207"/>
      <c r="AI45" s="207"/>
      <c r="AJ45" s="207"/>
      <c r="AK45" s="207"/>
      <c r="AL45" s="309"/>
      <c r="AM45" s="207"/>
      <c r="AN45" s="207"/>
      <c r="AO45" s="207"/>
      <c r="AP45" s="207"/>
      <c r="AQ45" s="207"/>
      <c r="AR45" s="207"/>
      <c r="AS45" s="207"/>
      <c r="AT45" s="207"/>
      <c r="AU45" s="207"/>
      <c r="AV45" s="207"/>
      <c r="AW45" s="207"/>
      <c r="AX45" s="207"/>
      <c r="AY45" s="207"/>
      <c r="AZ45" s="207"/>
      <c r="BA45" s="207"/>
      <c r="BB45" s="207"/>
      <c r="BC45" s="207"/>
      <c r="BD45" s="207"/>
      <c r="BE45" s="207"/>
    </row>
    <row r="46" spans="1:57" ht="10.5" customHeight="1" thickBot="1">
      <c r="A46" s="206"/>
      <c r="B46" s="294"/>
      <c r="C46" s="252">
        <f>+C40</f>
        <v>2549895</v>
      </c>
      <c r="D46" s="253">
        <v>26841</v>
      </c>
      <c r="E46" s="254">
        <v>26841</v>
      </c>
      <c r="F46" s="206"/>
      <c r="G46" s="206"/>
      <c r="H46" s="376"/>
      <c r="I46" s="206"/>
      <c r="J46" s="255"/>
      <c r="K46" s="206"/>
      <c r="L46" s="206"/>
      <c r="N46" s="278"/>
      <c r="O46" s="278"/>
      <c r="P46" s="278"/>
      <c r="Q46" s="278"/>
      <c r="R46" s="278"/>
      <c r="S46" s="278"/>
      <c r="T46" s="278"/>
      <c r="U46" s="278"/>
      <c r="V46" s="207"/>
      <c r="W46" s="207"/>
      <c r="X46" s="207"/>
      <c r="Y46" s="207"/>
      <c r="Z46" s="207"/>
      <c r="AA46" s="207"/>
      <c r="AB46" s="207"/>
      <c r="AC46" s="207"/>
      <c r="AD46" s="207"/>
      <c r="AE46" s="295"/>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row>
    <row r="47" spans="1:59" ht="13.5" thickBot="1">
      <c r="A47" s="206"/>
      <c r="B47" s="294"/>
      <c r="C47" s="296" t="s">
        <v>302</v>
      </c>
      <c r="D47" s="297">
        <f>+rangos*4600</f>
        <v>123468600</v>
      </c>
      <c r="E47" s="209"/>
      <c r="F47" s="206"/>
      <c r="G47" s="206"/>
      <c r="H47" s="206"/>
      <c r="I47" s="206"/>
      <c r="J47" s="255"/>
      <c r="K47" s="206"/>
      <c r="L47" s="206"/>
      <c r="M47" s="206"/>
      <c r="N47" s="278"/>
      <c r="O47" s="278"/>
      <c r="P47" s="278"/>
      <c r="Q47" s="278"/>
      <c r="R47" s="278"/>
      <c r="S47" s="278"/>
      <c r="T47" s="278"/>
      <c r="U47" s="278"/>
      <c r="V47" s="210"/>
      <c r="W47" s="210"/>
      <c r="X47" s="210"/>
      <c r="Y47" s="210"/>
      <c r="Z47" s="210"/>
      <c r="AA47" s="210"/>
      <c r="AB47" s="210"/>
      <c r="AC47" s="210"/>
      <c r="AD47" s="210"/>
      <c r="AE47" s="294"/>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G47" s="211"/>
    </row>
    <row r="48" spans="1:57" ht="13.5" thickBot="1">
      <c r="A48" s="206"/>
      <c r="B48" s="208"/>
      <c r="C48" s="209"/>
      <c r="D48" s="206"/>
      <c r="E48" s="206"/>
      <c r="F48" s="206"/>
      <c r="G48" s="206"/>
      <c r="H48" s="206"/>
      <c r="I48" s="206"/>
      <c r="J48" s="206"/>
      <c r="K48" s="206"/>
      <c r="L48" s="206"/>
      <c r="M48" s="205"/>
      <c r="N48" s="278"/>
      <c r="O48" s="278"/>
      <c r="P48" s="278"/>
      <c r="Q48" s="278"/>
      <c r="R48" s="278"/>
      <c r="S48" s="278"/>
      <c r="T48" s="278"/>
      <c r="U48" s="278"/>
      <c r="V48" s="389"/>
      <c r="W48" s="207"/>
      <c r="X48" s="207"/>
      <c r="Y48" s="207"/>
      <c r="Z48" s="207"/>
      <c r="AA48" s="207"/>
      <c r="AB48" s="207"/>
      <c r="AC48" s="207"/>
      <c r="AD48" s="207"/>
      <c r="AE48" s="295"/>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row>
    <row r="49" spans="1:56" ht="24" customHeight="1">
      <c r="A49" s="256" t="s">
        <v>132</v>
      </c>
      <c r="B49" s="257" t="s">
        <v>133</v>
      </c>
      <c r="C49" s="257" t="s">
        <v>134</v>
      </c>
      <c r="D49" s="392" t="s">
        <v>135</v>
      </c>
      <c r="E49" s="298" t="s">
        <v>185</v>
      </c>
      <c r="F49" s="258"/>
      <c r="G49" s="258"/>
      <c r="H49" s="298" t="s">
        <v>186</v>
      </c>
      <c r="I49" s="298" t="s">
        <v>187</v>
      </c>
      <c r="J49" s="298" t="s">
        <v>34</v>
      </c>
      <c r="K49" s="299" t="s">
        <v>188</v>
      </c>
      <c r="N49" s="205"/>
      <c r="R49" s="207"/>
      <c r="S49" s="207"/>
      <c r="T49" s="207"/>
      <c r="U49" s="207"/>
      <c r="V49" s="207"/>
      <c r="W49" s="207"/>
      <c r="X49" s="207"/>
      <c r="Y49" s="207"/>
      <c r="Z49" s="207"/>
      <c r="AA49" s="295"/>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row>
    <row r="50" spans="1:56" ht="11.25">
      <c r="A50" s="259" t="e">
        <f>A4</f>
        <v>#REF!</v>
      </c>
      <c r="B50" s="260" t="str">
        <f>B4</f>
        <v>C</v>
      </c>
      <c r="C50" s="261" t="e">
        <f>C4</f>
        <v>#REF!</v>
      </c>
      <c r="D50" s="261" t="str">
        <f>D4</f>
        <v>Profesional Especializado</v>
      </c>
      <c r="E50" s="262" t="e">
        <f>ROUND((AZ4),0)</f>
        <v>#REF!</v>
      </c>
      <c r="F50" s="261"/>
      <c r="G50" s="261"/>
      <c r="H50" s="261" t="e">
        <f aca="true" t="shared" si="22" ref="H50:H79">IF(E50/rangos+0.01&lt;95.01,0,IF(AND(E50/rangos&gt;95,E50/rangos+0.01&lt;150.01),((E50/rangos)-95)*0.19,IF(AND(E50/rangos+0.01&gt;150.01,E50/rangos+0.01&lt;360.01),((E50/rangos)-150)*0.28+10,((E50/rangos)-360)*0.33+69)))</f>
        <v>#REF!</v>
      </c>
      <c r="I50" s="263" t="e">
        <f aca="true" t="shared" si="23" ref="I50:I76">ROUND((E50*J50),0-3)</f>
        <v>#REF!</v>
      </c>
      <c r="J50" s="310">
        <v>0.0234</v>
      </c>
      <c r="K50" s="340" t="str">
        <f>G4</f>
        <v>2</v>
      </c>
      <c r="N50" s="205"/>
      <c r="R50" s="207"/>
      <c r="S50" s="207"/>
      <c r="T50" s="207"/>
      <c r="U50" s="207"/>
      <c r="V50" s="207"/>
      <c r="W50" s="207"/>
      <c r="X50" s="207"/>
      <c r="Y50" s="207"/>
      <c r="Z50" s="207"/>
      <c r="AA50" s="295"/>
      <c r="AB50" s="295"/>
      <c r="AC50" s="300"/>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row>
    <row r="51" spans="1:56" ht="11.25">
      <c r="A51" s="259" t="e">
        <f aca="true" t="shared" si="24" ref="A51:D79">A5</f>
        <v>#REF!</v>
      </c>
      <c r="B51" s="260" t="str">
        <f t="shared" si="24"/>
        <v>C</v>
      </c>
      <c r="C51" s="261" t="e">
        <f t="shared" si="24"/>
        <v>#REF!</v>
      </c>
      <c r="D51" s="261" t="str">
        <f t="shared" si="24"/>
        <v>Profesional Universitario </v>
      </c>
      <c r="E51" s="262" t="e">
        <f aca="true" t="shared" si="25" ref="E51:E79">ROUND((AZ5),0)</f>
        <v>#REF!</v>
      </c>
      <c r="F51" s="261"/>
      <c r="G51" s="261"/>
      <c r="H51" s="261" t="e">
        <f t="shared" si="22"/>
        <v>#REF!</v>
      </c>
      <c r="I51" s="263" t="e">
        <f t="shared" si="23"/>
        <v>#REF!</v>
      </c>
      <c r="J51" s="310">
        <v>0.0034</v>
      </c>
      <c r="K51" s="340" t="str">
        <f aca="true" t="shared" si="26" ref="K51:K79">G5</f>
        <v>2</v>
      </c>
      <c r="N51" s="205"/>
      <c r="R51" s="207"/>
      <c r="S51" s="207"/>
      <c r="T51" s="207"/>
      <c r="U51" s="207"/>
      <c r="V51" s="207"/>
      <c r="W51" s="207"/>
      <c r="X51" s="207"/>
      <c r="Y51" s="207"/>
      <c r="Z51" s="207"/>
      <c r="AA51" s="295"/>
      <c r="AB51" s="295"/>
      <c r="AC51" s="300"/>
      <c r="AD51" s="300"/>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row>
    <row r="52" spans="1:56" ht="11.25">
      <c r="A52" s="259" t="e">
        <f t="shared" si="24"/>
        <v>#REF!</v>
      </c>
      <c r="B52" s="260" t="str">
        <f t="shared" si="24"/>
        <v>C</v>
      </c>
      <c r="C52" s="261" t="e">
        <f t="shared" si="24"/>
        <v>#REF!</v>
      </c>
      <c r="D52" s="261" t="str">
        <f t="shared" si="24"/>
        <v>Técnico Administrativo</v>
      </c>
      <c r="E52" s="262" t="e">
        <f t="shared" si="25"/>
        <v>#REF!</v>
      </c>
      <c r="F52" s="261"/>
      <c r="G52" s="261"/>
      <c r="H52" s="261" t="e">
        <f t="shared" si="22"/>
        <v>#REF!</v>
      </c>
      <c r="I52" s="263" t="e">
        <f>ROUND((H52*rangos),0-3)</f>
        <v>#REF!</v>
      </c>
      <c r="J52" s="310" t="e">
        <f>I52/E52</f>
        <v>#REF!</v>
      </c>
      <c r="K52" s="340" t="str">
        <f t="shared" si="26"/>
        <v>1</v>
      </c>
      <c r="N52" s="205"/>
      <c r="R52" s="207"/>
      <c r="S52" s="207"/>
      <c r="T52" s="207"/>
      <c r="U52" s="207"/>
      <c r="V52" s="207"/>
      <c r="W52" s="207"/>
      <c r="X52" s="207"/>
      <c r="Y52" s="207"/>
      <c r="Z52" s="207"/>
      <c r="AA52" s="295"/>
      <c r="AB52" s="295"/>
      <c r="AC52" s="300"/>
      <c r="AD52" s="300"/>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row>
    <row r="53" spans="1:56" ht="11.25">
      <c r="A53" s="259" t="e">
        <f t="shared" si="24"/>
        <v>#REF!</v>
      </c>
      <c r="B53" s="260" t="str">
        <f t="shared" si="24"/>
        <v>C</v>
      </c>
      <c r="C53" s="261" t="e">
        <f t="shared" si="24"/>
        <v>#REF!</v>
      </c>
      <c r="D53" s="261" t="str">
        <f t="shared" si="24"/>
        <v>Subdirector Técnico</v>
      </c>
      <c r="E53" s="262" t="e">
        <f t="shared" si="25"/>
        <v>#REF!</v>
      </c>
      <c r="F53" s="261"/>
      <c r="G53" s="261"/>
      <c r="H53" s="261" t="e">
        <f t="shared" si="22"/>
        <v>#REF!</v>
      </c>
      <c r="I53" s="263" t="e">
        <f>ROUND((H53*rangos),0-3)</f>
        <v>#REF!</v>
      </c>
      <c r="J53" s="310" t="e">
        <f>I53/E53</f>
        <v>#REF!</v>
      </c>
      <c r="K53" s="340" t="str">
        <f t="shared" si="26"/>
        <v>1</v>
      </c>
      <c r="N53" s="205"/>
      <c r="R53" s="207"/>
      <c r="S53" s="207"/>
      <c r="T53" s="207"/>
      <c r="U53" s="207"/>
      <c r="V53" s="207"/>
      <c r="W53" s="207"/>
      <c r="X53" s="207"/>
      <c r="Y53" s="207"/>
      <c r="Z53" s="207"/>
      <c r="AA53" s="295"/>
      <c r="AB53" s="295"/>
      <c r="AC53" s="300"/>
      <c r="AD53" s="300"/>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row>
    <row r="54" spans="1:56" ht="11.25">
      <c r="A54" s="259" t="e">
        <f t="shared" si="24"/>
        <v>#REF!</v>
      </c>
      <c r="B54" s="260" t="str">
        <f t="shared" si="24"/>
        <v>C</v>
      </c>
      <c r="C54" s="261" t="e">
        <f t="shared" si="24"/>
        <v>#REF!</v>
      </c>
      <c r="D54" s="261" t="str">
        <f t="shared" si="24"/>
        <v>Asesor</v>
      </c>
      <c r="E54" s="262" t="e">
        <f t="shared" si="25"/>
        <v>#REF!</v>
      </c>
      <c r="F54" s="261"/>
      <c r="G54" s="261"/>
      <c r="H54" s="261" t="e">
        <f t="shared" si="22"/>
        <v>#REF!</v>
      </c>
      <c r="I54" s="263" t="e">
        <f>ROUND((H54*rangos),0-3)</f>
        <v>#REF!</v>
      </c>
      <c r="J54" s="310" t="e">
        <f>I54/E54</f>
        <v>#REF!</v>
      </c>
      <c r="K54" s="340" t="str">
        <f t="shared" si="26"/>
        <v>1</v>
      </c>
      <c r="N54" s="205"/>
      <c r="R54" s="207"/>
      <c r="S54" s="207"/>
      <c r="T54" s="207"/>
      <c r="U54" s="207"/>
      <c r="V54" s="207"/>
      <c r="W54" s="207"/>
      <c r="X54" s="207"/>
      <c r="Y54" s="207"/>
      <c r="Z54" s="207"/>
      <c r="AA54" s="295"/>
      <c r="AB54" s="295"/>
      <c r="AC54" s="300"/>
      <c r="AD54" s="300"/>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row>
    <row r="55" spans="1:56" ht="11.25">
      <c r="A55" s="259" t="e">
        <f t="shared" si="24"/>
        <v>#REF!</v>
      </c>
      <c r="B55" s="260" t="str">
        <f t="shared" si="24"/>
        <v>C</v>
      </c>
      <c r="C55" s="261" t="e">
        <f t="shared" si="24"/>
        <v>#REF!</v>
      </c>
      <c r="D55" s="261" t="str">
        <f t="shared" si="24"/>
        <v>Profesional Universitario </v>
      </c>
      <c r="E55" s="262" t="e">
        <f t="shared" si="25"/>
        <v>#REF!</v>
      </c>
      <c r="F55" s="261"/>
      <c r="G55" s="261"/>
      <c r="H55" s="261" t="e">
        <f t="shared" si="22"/>
        <v>#REF!</v>
      </c>
      <c r="I55" s="263" t="e">
        <f t="shared" si="23"/>
        <v>#REF!</v>
      </c>
      <c r="J55" s="310">
        <v>0.0213</v>
      </c>
      <c r="K55" s="340" t="str">
        <f t="shared" si="26"/>
        <v>2</v>
      </c>
      <c r="N55" s="205"/>
      <c r="R55" s="207"/>
      <c r="S55" s="207"/>
      <c r="T55" s="207"/>
      <c r="U55" s="207"/>
      <c r="V55" s="207"/>
      <c r="W55" s="207"/>
      <c r="X55" s="207"/>
      <c r="Y55" s="207"/>
      <c r="Z55" s="207"/>
      <c r="AA55" s="295"/>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row>
    <row r="56" spans="1:56" ht="11.25">
      <c r="A56" s="259" t="e">
        <f t="shared" si="24"/>
        <v>#REF!</v>
      </c>
      <c r="B56" s="260" t="str">
        <f t="shared" si="24"/>
        <v>C</v>
      </c>
      <c r="C56" s="261" t="e">
        <f t="shared" si="24"/>
        <v>#REF!</v>
      </c>
      <c r="D56" s="261" t="str">
        <f t="shared" si="24"/>
        <v>Conductor</v>
      </c>
      <c r="E56" s="262" t="e">
        <f t="shared" si="25"/>
        <v>#REF!</v>
      </c>
      <c r="F56" s="261"/>
      <c r="G56" s="261"/>
      <c r="H56" s="261" t="e">
        <f t="shared" si="22"/>
        <v>#REF!</v>
      </c>
      <c r="I56" s="263" t="e">
        <f t="shared" si="23"/>
        <v>#REF!</v>
      </c>
      <c r="J56" s="310">
        <v>0</v>
      </c>
      <c r="K56" s="340" t="str">
        <f t="shared" si="26"/>
        <v>2</v>
      </c>
      <c r="N56" s="205"/>
      <c r="R56" s="207"/>
      <c r="S56" s="207"/>
      <c r="T56" s="207"/>
      <c r="U56" s="207"/>
      <c r="V56" s="207"/>
      <c r="W56" s="207"/>
      <c r="X56" s="207"/>
      <c r="Y56" s="207"/>
      <c r="Z56" s="207"/>
      <c r="AA56" s="295"/>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row>
    <row r="57" spans="1:56" ht="11.25">
      <c r="A57" s="259" t="e">
        <f t="shared" si="24"/>
        <v>#REF!</v>
      </c>
      <c r="B57" s="260" t="str">
        <f t="shared" si="24"/>
        <v>C</v>
      </c>
      <c r="C57" s="261" t="e">
        <f t="shared" si="24"/>
        <v>#REF!</v>
      </c>
      <c r="D57" s="261" t="str">
        <f t="shared" si="24"/>
        <v>Profesional Universitario </v>
      </c>
      <c r="E57" s="262" t="e">
        <f t="shared" si="25"/>
        <v>#REF!</v>
      </c>
      <c r="F57" s="261"/>
      <c r="G57" s="261"/>
      <c r="H57" s="261" t="e">
        <f t="shared" si="22"/>
        <v>#REF!</v>
      </c>
      <c r="I57" s="263" t="e">
        <f t="shared" si="23"/>
        <v>#REF!</v>
      </c>
      <c r="J57" s="310">
        <v>0</v>
      </c>
      <c r="K57" s="340" t="str">
        <f t="shared" si="26"/>
        <v>2</v>
      </c>
      <c r="N57" s="205"/>
      <c r="R57" s="207"/>
      <c r="S57" s="207"/>
      <c r="T57" s="207"/>
      <c r="U57" s="207"/>
      <c r="V57" s="207"/>
      <c r="W57" s="207"/>
      <c r="X57" s="207"/>
      <c r="Y57" s="207"/>
      <c r="Z57" s="207"/>
      <c r="AA57" s="295"/>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row>
    <row r="58" spans="1:56" ht="11.25">
      <c r="A58" s="259" t="e">
        <f t="shared" si="24"/>
        <v>#REF!</v>
      </c>
      <c r="B58" s="260" t="str">
        <f t="shared" si="24"/>
        <v>C</v>
      </c>
      <c r="C58" s="261" t="e">
        <f t="shared" si="24"/>
        <v>#REF!</v>
      </c>
      <c r="D58" s="261" t="str">
        <f t="shared" si="24"/>
        <v>Profesional Especializado</v>
      </c>
      <c r="E58" s="262" t="e">
        <f t="shared" si="25"/>
        <v>#REF!</v>
      </c>
      <c r="F58" s="388"/>
      <c r="G58" s="388"/>
      <c r="H58" s="261" t="e">
        <f t="shared" si="22"/>
        <v>#REF!</v>
      </c>
      <c r="I58" s="263" t="e">
        <f t="shared" si="23"/>
        <v>#REF!</v>
      </c>
      <c r="J58" s="310">
        <v>0.0148</v>
      </c>
      <c r="K58" s="340" t="str">
        <f t="shared" si="26"/>
        <v>2</v>
      </c>
      <c r="N58" s="205"/>
      <c r="R58" s="207"/>
      <c r="S58" s="207"/>
      <c r="T58" s="207"/>
      <c r="U58" s="207"/>
      <c r="V58" s="207"/>
      <c r="W58" s="207"/>
      <c r="X58" s="207"/>
      <c r="Y58" s="207"/>
      <c r="Z58" s="207"/>
      <c r="AA58" s="295"/>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row>
    <row r="59" spans="1:56" ht="11.25">
      <c r="A59" s="259" t="e">
        <f t="shared" si="24"/>
        <v>#REF!</v>
      </c>
      <c r="B59" s="260" t="str">
        <f t="shared" si="24"/>
        <v>C</v>
      </c>
      <c r="C59" s="261" t="e">
        <f t="shared" si="24"/>
        <v>#REF!</v>
      </c>
      <c r="D59" s="261" t="str">
        <f t="shared" si="24"/>
        <v>Asesor</v>
      </c>
      <c r="E59" s="262" t="e">
        <f t="shared" si="25"/>
        <v>#REF!</v>
      </c>
      <c r="F59" s="261"/>
      <c r="G59" s="261"/>
      <c r="H59" s="261" t="e">
        <f t="shared" si="22"/>
        <v>#REF!</v>
      </c>
      <c r="I59" s="263" t="e">
        <f t="shared" si="23"/>
        <v>#REF!</v>
      </c>
      <c r="J59" s="310">
        <v>0.0784</v>
      </c>
      <c r="K59" s="340" t="str">
        <f t="shared" si="26"/>
        <v>2</v>
      </c>
      <c r="N59" s="205"/>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row>
    <row r="60" spans="1:56" ht="11.25">
      <c r="A60" s="259" t="e">
        <f t="shared" si="24"/>
        <v>#REF!</v>
      </c>
      <c r="B60" s="260" t="str">
        <f t="shared" si="24"/>
        <v>C</v>
      </c>
      <c r="C60" s="261" t="e">
        <f t="shared" si="24"/>
        <v>#REF!</v>
      </c>
      <c r="D60" s="261" t="str">
        <f t="shared" si="24"/>
        <v>Técnico Administrativo</v>
      </c>
      <c r="E60" s="262" t="e">
        <f t="shared" si="25"/>
        <v>#REF!</v>
      </c>
      <c r="F60" s="261"/>
      <c r="G60" s="261"/>
      <c r="H60" s="261" t="e">
        <f t="shared" si="22"/>
        <v>#REF!</v>
      </c>
      <c r="I60" s="263" t="e">
        <f t="shared" si="23"/>
        <v>#REF!</v>
      </c>
      <c r="J60" s="310">
        <v>0</v>
      </c>
      <c r="K60" s="340" t="str">
        <f t="shared" si="26"/>
        <v>2</v>
      </c>
      <c r="N60" s="205"/>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row>
    <row r="61" spans="1:56" ht="11.25">
      <c r="A61" s="259" t="e">
        <f t="shared" si="24"/>
        <v>#REF!</v>
      </c>
      <c r="B61" s="260" t="str">
        <f t="shared" si="24"/>
        <v>C</v>
      </c>
      <c r="C61" s="261" t="e">
        <f t="shared" si="24"/>
        <v>#REF!</v>
      </c>
      <c r="D61" s="261" t="str">
        <f t="shared" si="24"/>
        <v>Subdirector Técnico</v>
      </c>
      <c r="E61" s="262" t="e">
        <f t="shared" si="25"/>
        <v>#REF!</v>
      </c>
      <c r="F61" s="261"/>
      <c r="G61" s="261"/>
      <c r="H61" s="261" t="e">
        <f t="shared" si="22"/>
        <v>#REF!</v>
      </c>
      <c r="I61" s="263" t="e">
        <f t="shared" si="23"/>
        <v>#REF!</v>
      </c>
      <c r="J61" s="310">
        <v>0.0269</v>
      </c>
      <c r="K61" s="340" t="str">
        <f t="shared" si="26"/>
        <v>2</v>
      </c>
      <c r="N61" s="205"/>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row>
    <row r="62" spans="1:56" ht="11.25">
      <c r="A62" s="259" t="e">
        <f t="shared" si="24"/>
        <v>#REF!</v>
      </c>
      <c r="B62" s="260" t="str">
        <f t="shared" si="24"/>
        <v>C</v>
      </c>
      <c r="C62" s="261" t="e">
        <f t="shared" si="24"/>
        <v>#REF!</v>
      </c>
      <c r="D62" s="261" t="str">
        <f t="shared" si="24"/>
        <v>Profesional Especializado</v>
      </c>
      <c r="E62" s="262" t="e">
        <f t="shared" si="25"/>
        <v>#REF!</v>
      </c>
      <c r="F62" s="261"/>
      <c r="G62" s="261"/>
      <c r="H62" s="261" t="e">
        <f t="shared" si="22"/>
        <v>#REF!</v>
      </c>
      <c r="I62" s="263" t="e">
        <f t="shared" si="23"/>
        <v>#REF!</v>
      </c>
      <c r="J62" s="310">
        <v>0.0322</v>
      </c>
      <c r="K62" s="340" t="str">
        <f t="shared" si="26"/>
        <v>2</v>
      </c>
      <c r="N62" s="205"/>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row>
    <row r="63" spans="1:56" ht="11.25">
      <c r="A63" s="259" t="e">
        <f t="shared" si="24"/>
        <v>#REF!</v>
      </c>
      <c r="B63" s="260" t="str">
        <f t="shared" si="24"/>
        <v>C</v>
      </c>
      <c r="C63" s="261" t="e">
        <f t="shared" si="24"/>
        <v>#REF!</v>
      </c>
      <c r="D63" s="261" t="str">
        <f t="shared" si="24"/>
        <v>Profesional Especializado</v>
      </c>
      <c r="E63" s="262" t="e">
        <f t="shared" si="25"/>
        <v>#REF!</v>
      </c>
      <c r="F63" s="261"/>
      <c r="G63" s="261"/>
      <c r="H63" s="261" t="e">
        <f t="shared" si="22"/>
        <v>#REF!</v>
      </c>
      <c r="I63" s="263" t="e">
        <f t="shared" si="23"/>
        <v>#REF!</v>
      </c>
      <c r="J63" s="310">
        <v>0.0437</v>
      </c>
      <c r="K63" s="340" t="str">
        <f t="shared" si="26"/>
        <v>2</v>
      </c>
      <c r="N63" s="205"/>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row>
    <row r="64" spans="1:56" ht="11.25">
      <c r="A64" s="259" t="e">
        <f t="shared" si="24"/>
        <v>#REF!</v>
      </c>
      <c r="B64" s="260" t="str">
        <f t="shared" si="24"/>
        <v>C</v>
      </c>
      <c r="C64" s="261" t="e">
        <f t="shared" si="24"/>
        <v>#REF!</v>
      </c>
      <c r="D64" s="261" t="str">
        <f t="shared" si="24"/>
        <v>Profesional Especializado</v>
      </c>
      <c r="E64" s="262" t="e">
        <f t="shared" si="25"/>
        <v>#REF!</v>
      </c>
      <c r="F64" s="261"/>
      <c r="G64" s="261"/>
      <c r="H64" s="261" t="e">
        <f t="shared" si="22"/>
        <v>#REF!</v>
      </c>
      <c r="I64" s="263" t="e">
        <f t="shared" si="23"/>
        <v>#REF!</v>
      </c>
      <c r="J64" s="310">
        <v>0.0429</v>
      </c>
      <c r="K64" s="340" t="str">
        <f t="shared" si="26"/>
        <v>2</v>
      </c>
      <c r="N64" s="205"/>
      <c r="R64" s="207"/>
      <c r="S64" s="207"/>
      <c r="T64" s="207"/>
      <c r="U64" s="207"/>
      <c r="V64" s="301"/>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row>
    <row r="65" spans="1:56" ht="11.25">
      <c r="A65" s="259" t="e">
        <f t="shared" si="24"/>
        <v>#REF!</v>
      </c>
      <c r="B65" s="260" t="str">
        <f t="shared" si="24"/>
        <v>C</v>
      </c>
      <c r="C65" s="261" t="e">
        <f t="shared" si="24"/>
        <v>#REF!</v>
      </c>
      <c r="D65" s="261" t="str">
        <f t="shared" si="24"/>
        <v>Profesional Especializado</v>
      </c>
      <c r="E65" s="262" t="e">
        <f t="shared" si="25"/>
        <v>#REF!</v>
      </c>
      <c r="F65" s="261"/>
      <c r="G65" s="261"/>
      <c r="H65" s="261" t="e">
        <f t="shared" si="22"/>
        <v>#REF!</v>
      </c>
      <c r="I65" s="263" t="e">
        <f t="shared" si="23"/>
        <v>#REF!</v>
      </c>
      <c r="J65" s="310">
        <v>0.027</v>
      </c>
      <c r="K65" s="340" t="str">
        <f t="shared" si="26"/>
        <v>2</v>
      </c>
      <c r="N65" s="205"/>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07"/>
      <c r="BD65" s="207"/>
    </row>
    <row r="66" spans="1:56" ht="11.25">
      <c r="A66" s="259" t="e">
        <f t="shared" si="24"/>
        <v>#REF!</v>
      </c>
      <c r="B66" s="260" t="str">
        <f t="shared" si="24"/>
        <v>C</v>
      </c>
      <c r="C66" s="261" t="e">
        <f t="shared" si="24"/>
        <v>#REF!</v>
      </c>
      <c r="D66" s="261" t="str">
        <f t="shared" si="24"/>
        <v>Profesional Especializado</v>
      </c>
      <c r="E66" s="262" t="e">
        <f t="shared" si="25"/>
        <v>#REF!</v>
      </c>
      <c r="F66" s="261"/>
      <c r="G66" s="261"/>
      <c r="H66" s="261" t="e">
        <f t="shared" si="22"/>
        <v>#REF!</v>
      </c>
      <c r="I66" s="263" t="e">
        <f t="shared" si="23"/>
        <v>#REF!</v>
      </c>
      <c r="J66" s="310">
        <v>0</v>
      </c>
      <c r="K66" s="340" t="str">
        <f t="shared" si="26"/>
        <v>2</v>
      </c>
      <c r="N66" s="205"/>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7"/>
      <c r="AY66" s="207"/>
      <c r="AZ66" s="207"/>
      <c r="BA66" s="207"/>
      <c r="BB66" s="207"/>
      <c r="BC66" s="207"/>
      <c r="BD66" s="207"/>
    </row>
    <row r="67" spans="1:56" ht="11.25">
      <c r="A67" s="259" t="e">
        <f t="shared" si="24"/>
        <v>#REF!</v>
      </c>
      <c r="B67" s="260" t="str">
        <f t="shared" si="24"/>
        <v>C</v>
      </c>
      <c r="C67" s="261" t="e">
        <f t="shared" si="24"/>
        <v>#REF!</v>
      </c>
      <c r="D67" s="261" t="str">
        <f t="shared" si="24"/>
        <v>Asesor</v>
      </c>
      <c r="E67" s="262" t="e">
        <f t="shared" si="25"/>
        <v>#REF!</v>
      </c>
      <c r="F67" s="261"/>
      <c r="G67" s="261"/>
      <c r="H67" s="261" t="e">
        <f t="shared" si="22"/>
        <v>#REF!</v>
      </c>
      <c r="I67" s="263" t="e">
        <f t="shared" si="23"/>
        <v>#REF!</v>
      </c>
      <c r="J67" s="310">
        <v>0.0424</v>
      </c>
      <c r="K67" s="340" t="str">
        <f t="shared" si="26"/>
        <v>2</v>
      </c>
      <c r="N67" s="205"/>
      <c r="R67" s="207"/>
      <c r="S67" s="207"/>
      <c r="T67" s="207"/>
      <c r="U67" s="207"/>
      <c r="V67" s="207"/>
      <c r="W67" s="207"/>
      <c r="X67" s="207"/>
      <c r="Y67" s="207"/>
      <c r="Z67" s="207"/>
      <c r="AA67" s="207"/>
      <c r="AB67" s="207"/>
      <c r="AC67" s="207"/>
      <c r="AD67" s="207"/>
      <c r="AE67" s="207"/>
      <c r="AF67" s="207"/>
      <c r="AG67" s="207"/>
      <c r="AH67" s="207"/>
      <c r="AI67" s="207"/>
      <c r="AJ67" s="207"/>
      <c r="AK67" s="207"/>
      <c r="AL67" s="207"/>
      <c r="AM67" s="207"/>
      <c r="AN67" s="207"/>
      <c r="AO67" s="207"/>
      <c r="AP67" s="207"/>
      <c r="AQ67" s="207"/>
      <c r="AR67" s="207"/>
      <c r="AS67" s="207"/>
      <c r="AT67" s="207"/>
      <c r="AU67" s="207"/>
      <c r="AV67" s="207"/>
      <c r="AW67" s="207"/>
      <c r="AX67" s="207"/>
      <c r="AY67" s="207"/>
      <c r="AZ67" s="207"/>
      <c r="BA67" s="207"/>
      <c r="BB67" s="207"/>
      <c r="BC67" s="207"/>
      <c r="BD67" s="207"/>
    </row>
    <row r="68" spans="1:56" ht="11.25">
      <c r="A68" s="259" t="e">
        <f t="shared" si="24"/>
        <v>#REF!</v>
      </c>
      <c r="B68" s="260" t="str">
        <f t="shared" si="24"/>
        <v>C</v>
      </c>
      <c r="C68" s="261" t="e">
        <f t="shared" si="24"/>
        <v>#REF!</v>
      </c>
      <c r="D68" s="261" t="str">
        <f t="shared" si="24"/>
        <v>Secretario Ejecutivo</v>
      </c>
      <c r="E68" s="262" t="e">
        <f t="shared" si="25"/>
        <v>#REF!</v>
      </c>
      <c r="F68" s="261"/>
      <c r="G68" s="261"/>
      <c r="H68" s="261" t="e">
        <f t="shared" si="22"/>
        <v>#REF!</v>
      </c>
      <c r="I68" s="263" t="e">
        <f t="shared" si="23"/>
        <v>#REF!</v>
      </c>
      <c r="J68" s="310">
        <v>0.0481</v>
      </c>
      <c r="K68" s="340" t="str">
        <f t="shared" si="26"/>
        <v>2</v>
      </c>
      <c r="N68" s="205"/>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7"/>
      <c r="BB68" s="207"/>
      <c r="BC68" s="207"/>
      <c r="BD68" s="207"/>
    </row>
    <row r="69" spans="1:56" ht="11.25">
      <c r="A69" s="259" t="e">
        <f t="shared" si="24"/>
        <v>#REF!</v>
      </c>
      <c r="B69" s="260" t="str">
        <f t="shared" si="24"/>
        <v>C</v>
      </c>
      <c r="C69" s="261" t="e">
        <f t="shared" si="24"/>
        <v>#REF!</v>
      </c>
      <c r="D69" s="261" t="str">
        <f t="shared" si="24"/>
        <v>Profesional Especializado</v>
      </c>
      <c r="E69" s="262" t="e">
        <f t="shared" si="25"/>
        <v>#REF!</v>
      </c>
      <c r="F69" s="261"/>
      <c r="G69" s="261"/>
      <c r="H69" s="261" t="e">
        <f t="shared" si="22"/>
        <v>#REF!</v>
      </c>
      <c r="I69" s="263" t="e">
        <f>ROUND((H69*rangos),0-3)</f>
        <v>#REF!</v>
      </c>
      <c r="J69" s="310" t="e">
        <f>I69/E69</f>
        <v>#REF!</v>
      </c>
      <c r="K69" s="340" t="str">
        <f t="shared" si="26"/>
        <v>1</v>
      </c>
      <c r="N69" s="205"/>
      <c r="R69" s="207"/>
      <c r="S69" s="207"/>
      <c r="T69" s="207"/>
      <c r="U69" s="207"/>
      <c r="V69" s="207"/>
      <c r="W69" s="207"/>
      <c r="X69" s="207"/>
      <c r="Y69" s="207"/>
      <c r="Z69" s="207"/>
      <c r="AA69" s="207"/>
      <c r="AB69" s="207"/>
      <c r="AC69" s="207"/>
      <c r="AD69" s="207"/>
      <c r="AE69" s="207"/>
      <c r="AF69" s="207"/>
      <c r="AG69" s="207"/>
      <c r="AH69" s="207"/>
      <c r="AI69" s="207"/>
      <c r="AJ69" s="207"/>
      <c r="AK69" s="207"/>
      <c r="AL69" s="207"/>
      <c r="AM69" s="207"/>
      <c r="AN69" s="207"/>
      <c r="AO69" s="207"/>
      <c r="AP69" s="207"/>
      <c r="AQ69" s="207"/>
      <c r="AR69" s="207"/>
      <c r="AS69" s="207"/>
      <c r="AT69" s="207"/>
      <c r="AU69" s="207"/>
      <c r="AV69" s="207"/>
      <c r="AW69" s="207"/>
      <c r="AX69" s="207"/>
      <c r="AY69" s="207"/>
      <c r="AZ69" s="207"/>
      <c r="BA69" s="207"/>
      <c r="BB69" s="207"/>
      <c r="BC69" s="207"/>
      <c r="BD69" s="207"/>
    </row>
    <row r="70" spans="1:56" ht="11.25">
      <c r="A70" s="259" t="e">
        <f t="shared" si="24"/>
        <v>#REF!</v>
      </c>
      <c r="B70" s="260" t="str">
        <f t="shared" si="24"/>
        <v>C</v>
      </c>
      <c r="C70" s="261" t="e">
        <f t="shared" si="24"/>
        <v>#REF!</v>
      </c>
      <c r="D70" s="261" t="str">
        <f t="shared" si="24"/>
        <v>Profesional Especializado</v>
      </c>
      <c r="E70" s="262" t="e">
        <f t="shared" si="25"/>
        <v>#REF!</v>
      </c>
      <c r="F70" s="261"/>
      <c r="G70" s="261"/>
      <c r="H70" s="261" t="e">
        <f t="shared" si="22"/>
        <v>#REF!</v>
      </c>
      <c r="I70" s="263" t="e">
        <f>ROUND((H70*rangos),0-3)</f>
        <v>#REF!</v>
      </c>
      <c r="J70" s="310" t="e">
        <f>I70/E70</f>
        <v>#REF!</v>
      </c>
      <c r="K70" s="340" t="str">
        <f t="shared" si="26"/>
        <v>1</v>
      </c>
      <c r="N70" s="205"/>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7"/>
      <c r="AY70" s="207"/>
      <c r="AZ70" s="207"/>
      <c r="BA70" s="207"/>
      <c r="BB70" s="207"/>
      <c r="BC70" s="207"/>
      <c r="BD70" s="207"/>
    </row>
    <row r="71" spans="1:56" ht="11.25">
      <c r="A71" s="259" t="e">
        <f t="shared" si="24"/>
        <v>#REF!</v>
      </c>
      <c r="B71" s="260" t="str">
        <f t="shared" si="24"/>
        <v>C</v>
      </c>
      <c r="C71" s="261" t="e">
        <f t="shared" si="24"/>
        <v>#REF!</v>
      </c>
      <c r="D71" s="261" t="str">
        <f t="shared" si="24"/>
        <v>Secretario Ejecutivo</v>
      </c>
      <c r="E71" s="262" t="e">
        <f t="shared" si="25"/>
        <v>#REF!</v>
      </c>
      <c r="F71" s="261"/>
      <c r="G71" s="261"/>
      <c r="H71" s="261" t="e">
        <f t="shared" si="22"/>
        <v>#REF!</v>
      </c>
      <c r="I71" s="263" t="e">
        <f t="shared" si="23"/>
        <v>#REF!</v>
      </c>
      <c r="J71" s="310">
        <v>0</v>
      </c>
      <c r="K71" s="340" t="str">
        <f t="shared" si="26"/>
        <v>2</v>
      </c>
      <c r="N71" s="205"/>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row>
    <row r="72" spans="1:56" ht="11.25">
      <c r="A72" s="259" t="e">
        <f t="shared" si="24"/>
        <v>#REF!</v>
      </c>
      <c r="B72" s="260" t="str">
        <f t="shared" si="24"/>
        <v>C</v>
      </c>
      <c r="C72" s="261" t="e">
        <f t="shared" si="24"/>
        <v>#REF!</v>
      </c>
      <c r="D72" s="261" t="str">
        <f t="shared" si="24"/>
        <v>Profesional Especializado</v>
      </c>
      <c r="E72" s="262" t="e">
        <f t="shared" si="25"/>
        <v>#REF!</v>
      </c>
      <c r="F72" s="261"/>
      <c r="G72" s="261"/>
      <c r="H72" s="261" t="e">
        <f t="shared" si="22"/>
        <v>#REF!</v>
      </c>
      <c r="I72" s="263" t="e">
        <f t="shared" si="23"/>
        <v>#REF!</v>
      </c>
      <c r="J72" s="310">
        <v>0.0367</v>
      </c>
      <c r="K72" s="340" t="str">
        <f t="shared" si="26"/>
        <v>2</v>
      </c>
      <c r="N72" s="205"/>
      <c r="R72" s="207"/>
      <c r="S72" s="207"/>
      <c r="T72" s="207"/>
      <c r="U72" s="207"/>
      <c r="V72" s="207"/>
      <c r="W72" s="207"/>
      <c r="X72" s="207"/>
      <c r="Y72" s="207"/>
      <c r="Z72" s="207"/>
      <c r="AA72" s="207"/>
      <c r="AB72" s="207"/>
      <c r="AC72" s="207"/>
      <c r="AD72" s="207"/>
      <c r="AE72" s="207"/>
      <c r="AF72" s="207"/>
      <c r="AG72" s="207"/>
      <c r="AH72" s="207"/>
      <c r="AI72" s="207"/>
      <c r="AJ72" s="207"/>
      <c r="AK72" s="207"/>
      <c r="AL72" s="207"/>
      <c r="AM72" s="207"/>
      <c r="AN72" s="207"/>
      <c r="AO72" s="207"/>
      <c r="AP72" s="207"/>
      <c r="AQ72" s="207"/>
      <c r="AR72" s="207"/>
      <c r="AS72" s="207"/>
      <c r="AT72" s="207"/>
      <c r="AU72" s="207"/>
      <c r="AV72" s="207"/>
      <c r="AW72" s="207"/>
      <c r="AX72" s="207"/>
      <c r="AY72" s="207"/>
      <c r="AZ72" s="207"/>
      <c r="BA72" s="207"/>
      <c r="BB72" s="207"/>
      <c r="BC72" s="207"/>
      <c r="BD72" s="207"/>
    </row>
    <row r="73" spans="1:56" ht="11.25">
      <c r="A73" s="259" t="e">
        <f t="shared" si="24"/>
        <v>#REF!</v>
      </c>
      <c r="B73" s="260" t="str">
        <f t="shared" si="24"/>
        <v>C</v>
      </c>
      <c r="C73" s="261" t="e">
        <f t="shared" si="24"/>
        <v>#REF!</v>
      </c>
      <c r="D73" s="261" t="str">
        <f t="shared" si="24"/>
        <v>Profesional Especializado</v>
      </c>
      <c r="E73" s="262" t="e">
        <f t="shared" si="25"/>
        <v>#REF!</v>
      </c>
      <c r="F73" s="261"/>
      <c r="G73" s="261"/>
      <c r="H73" s="261" t="e">
        <f t="shared" si="22"/>
        <v>#REF!</v>
      </c>
      <c r="I73" s="263" t="e">
        <f t="shared" si="23"/>
        <v>#REF!</v>
      </c>
      <c r="J73" s="310">
        <v>0.0456</v>
      </c>
      <c r="K73" s="340" t="str">
        <f t="shared" si="26"/>
        <v>2</v>
      </c>
      <c r="N73" s="205"/>
      <c r="R73" s="207"/>
      <c r="S73" s="207"/>
      <c r="T73" s="207"/>
      <c r="U73" s="207"/>
      <c r="V73" s="207"/>
      <c r="W73" s="207"/>
      <c r="X73" s="207"/>
      <c r="Y73" s="207"/>
      <c r="Z73" s="207"/>
      <c r="AA73" s="207"/>
      <c r="AB73" s="207"/>
      <c r="AC73" s="207"/>
      <c r="AD73" s="207"/>
      <c r="AE73" s="207"/>
      <c r="AF73" s="207"/>
      <c r="AG73" s="207"/>
      <c r="AH73" s="207"/>
      <c r="AI73" s="207"/>
      <c r="AJ73" s="207"/>
      <c r="AK73" s="207"/>
      <c r="AL73" s="207"/>
      <c r="AM73" s="207"/>
      <c r="AN73" s="207"/>
      <c r="AO73" s="207"/>
      <c r="AP73" s="207"/>
      <c r="AQ73" s="207"/>
      <c r="AR73" s="207"/>
      <c r="AS73" s="207"/>
      <c r="AT73" s="207"/>
      <c r="AU73" s="207"/>
      <c r="AV73" s="207"/>
      <c r="AW73" s="207"/>
      <c r="AX73" s="207"/>
      <c r="AY73" s="207"/>
      <c r="AZ73" s="207"/>
      <c r="BA73" s="207"/>
      <c r="BB73" s="207"/>
      <c r="BC73" s="207"/>
      <c r="BD73" s="207"/>
    </row>
    <row r="74" spans="1:56" ht="11.25">
      <c r="A74" s="259" t="e">
        <f t="shared" si="24"/>
        <v>#REF!</v>
      </c>
      <c r="B74" s="260" t="str">
        <f t="shared" si="24"/>
        <v>C</v>
      </c>
      <c r="C74" s="261" t="e">
        <f t="shared" si="24"/>
        <v>#REF!</v>
      </c>
      <c r="D74" s="261" t="str">
        <f t="shared" si="24"/>
        <v>Director General</v>
      </c>
      <c r="E74" s="262" t="e">
        <f t="shared" si="25"/>
        <v>#REF!</v>
      </c>
      <c r="F74" s="261"/>
      <c r="G74" s="261"/>
      <c r="H74" s="261" t="e">
        <f t="shared" si="22"/>
        <v>#REF!</v>
      </c>
      <c r="I74" s="263" t="e">
        <f>ROUND((H74*rangos),0-3)</f>
        <v>#REF!</v>
      </c>
      <c r="J74" s="310" t="e">
        <f>I74/E74</f>
        <v>#REF!</v>
      </c>
      <c r="K74" s="340" t="str">
        <f t="shared" si="26"/>
        <v>1</v>
      </c>
      <c r="N74" s="205"/>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7"/>
      <c r="AU74" s="207"/>
      <c r="AV74" s="207"/>
      <c r="AW74" s="207"/>
      <c r="AX74" s="207"/>
      <c r="AY74" s="207"/>
      <c r="AZ74" s="207"/>
      <c r="BA74" s="207"/>
      <c r="BB74" s="207"/>
      <c r="BC74" s="207"/>
      <c r="BD74" s="207"/>
    </row>
    <row r="75" spans="1:56" ht="11.25">
      <c r="A75" s="259" t="e">
        <f t="shared" si="24"/>
        <v>#REF!</v>
      </c>
      <c r="B75" s="260" t="str">
        <f t="shared" si="24"/>
        <v>C</v>
      </c>
      <c r="C75" s="261" t="e">
        <f t="shared" si="24"/>
        <v>#REF!</v>
      </c>
      <c r="D75" s="261" t="str">
        <f t="shared" si="24"/>
        <v>Asesor</v>
      </c>
      <c r="E75" s="262" t="e">
        <f t="shared" si="25"/>
        <v>#REF!</v>
      </c>
      <c r="F75" s="261"/>
      <c r="G75" s="261"/>
      <c r="H75" s="261" t="e">
        <f t="shared" si="22"/>
        <v>#REF!</v>
      </c>
      <c r="I75" s="263" t="e">
        <f>ROUND((H75*rangos),0-3)</f>
        <v>#REF!</v>
      </c>
      <c r="J75" s="310" t="e">
        <f>I75/E75</f>
        <v>#REF!</v>
      </c>
      <c r="K75" s="340" t="str">
        <f t="shared" si="26"/>
        <v>1</v>
      </c>
      <c r="N75" s="205"/>
      <c r="R75" s="207"/>
      <c r="S75" s="207"/>
      <c r="T75" s="207"/>
      <c r="U75" s="207"/>
      <c r="V75" s="207"/>
      <c r="W75" s="207"/>
      <c r="X75" s="207"/>
      <c r="Y75" s="207"/>
      <c r="Z75" s="207"/>
      <c r="AA75" s="207"/>
      <c r="AB75" s="207"/>
      <c r="AC75" s="207"/>
      <c r="AD75" s="207"/>
      <c r="AE75" s="207"/>
      <c r="AF75" s="207"/>
      <c r="AG75" s="207"/>
      <c r="AH75" s="207"/>
      <c r="AI75" s="207"/>
      <c r="AJ75" s="207"/>
      <c r="AK75" s="207"/>
      <c r="AL75" s="207"/>
      <c r="AM75" s="207"/>
      <c r="AN75" s="207"/>
      <c r="AO75" s="207"/>
      <c r="AP75" s="207"/>
      <c r="AQ75" s="207"/>
      <c r="AR75" s="207"/>
      <c r="AS75" s="207"/>
      <c r="AT75" s="207"/>
      <c r="AU75" s="207"/>
      <c r="AV75" s="207"/>
      <c r="AW75" s="207"/>
      <c r="AX75" s="207"/>
      <c r="AY75" s="207"/>
      <c r="AZ75" s="207"/>
      <c r="BA75" s="207"/>
      <c r="BB75" s="207"/>
      <c r="BC75" s="207"/>
      <c r="BD75" s="207"/>
    </row>
    <row r="76" spans="1:56" ht="11.25">
      <c r="A76" s="259" t="e">
        <f t="shared" si="24"/>
        <v>#REF!</v>
      </c>
      <c r="B76" s="260" t="str">
        <f t="shared" si="24"/>
        <v>C</v>
      </c>
      <c r="C76" s="261" t="e">
        <f t="shared" si="24"/>
        <v>#REF!</v>
      </c>
      <c r="D76" s="261" t="str">
        <f t="shared" si="24"/>
        <v>Auxiliar Administrativo </v>
      </c>
      <c r="E76" s="262" t="e">
        <f t="shared" si="25"/>
        <v>#REF!</v>
      </c>
      <c r="F76" s="261"/>
      <c r="G76" s="261"/>
      <c r="H76" s="261" t="e">
        <f t="shared" si="22"/>
        <v>#REF!</v>
      </c>
      <c r="I76" s="263" t="e">
        <f t="shared" si="23"/>
        <v>#REF!</v>
      </c>
      <c r="J76" s="310">
        <v>0</v>
      </c>
      <c r="K76" s="340" t="str">
        <f t="shared" si="26"/>
        <v>2</v>
      </c>
      <c r="N76" s="205"/>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7"/>
      <c r="AY76" s="207"/>
      <c r="AZ76" s="207"/>
      <c r="BA76" s="207"/>
      <c r="BB76" s="207"/>
      <c r="BC76" s="207"/>
      <c r="BD76" s="207"/>
    </row>
    <row r="77" spans="1:56" ht="11.25">
      <c r="A77" s="259" t="e">
        <f t="shared" si="24"/>
        <v>#REF!</v>
      </c>
      <c r="B77" s="260" t="str">
        <f t="shared" si="24"/>
        <v>C</v>
      </c>
      <c r="C77" s="261" t="e">
        <f t="shared" si="24"/>
        <v>#REF!</v>
      </c>
      <c r="D77" s="261" t="str">
        <f t="shared" si="24"/>
        <v>Asesor</v>
      </c>
      <c r="E77" s="262" t="e">
        <f t="shared" si="25"/>
        <v>#REF!</v>
      </c>
      <c r="F77" s="261"/>
      <c r="G77" s="261"/>
      <c r="H77" s="261" t="e">
        <f t="shared" si="22"/>
        <v>#REF!</v>
      </c>
      <c r="I77" s="263" t="e">
        <f>ROUND((H77*rangos),0-3)</f>
        <v>#REF!</v>
      </c>
      <c r="J77" s="310" t="e">
        <f>I77/E77</f>
        <v>#REF!</v>
      </c>
      <c r="K77" s="340" t="str">
        <f t="shared" si="26"/>
        <v>1</v>
      </c>
      <c r="N77" s="205"/>
      <c r="R77" s="207"/>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7"/>
      <c r="AV77" s="207"/>
      <c r="AW77" s="207"/>
      <c r="AX77" s="207"/>
      <c r="AY77" s="207"/>
      <c r="AZ77" s="207"/>
      <c r="BA77" s="207"/>
      <c r="BB77" s="207"/>
      <c r="BC77" s="207"/>
      <c r="BD77" s="207"/>
    </row>
    <row r="78" spans="1:56" ht="11.25">
      <c r="A78" s="259" t="e">
        <f t="shared" si="24"/>
        <v>#REF!</v>
      </c>
      <c r="B78" s="260" t="str">
        <f t="shared" si="24"/>
        <v>C</v>
      </c>
      <c r="C78" s="261" t="e">
        <f t="shared" si="24"/>
        <v>#REF!</v>
      </c>
      <c r="D78" s="261" t="str">
        <f t="shared" si="24"/>
        <v>Técnico Administrativo</v>
      </c>
      <c r="E78" s="262" t="e">
        <f t="shared" si="25"/>
        <v>#REF!</v>
      </c>
      <c r="F78" s="261"/>
      <c r="G78" s="261"/>
      <c r="H78" s="261" t="e">
        <f t="shared" si="22"/>
        <v>#REF!</v>
      </c>
      <c r="I78" s="263" t="e">
        <f>ROUND((H78*rangos),0-3)</f>
        <v>#REF!</v>
      </c>
      <c r="J78" s="310" t="e">
        <f>I78/E78</f>
        <v>#REF!</v>
      </c>
      <c r="K78" s="340" t="str">
        <f t="shared" si="26"/>
        <v>1</v>
      </c>
      <c r="N78" s="205"/>
      <c r="R78" s="207"/>
      <c r="S78" s="207"/>
      <c r="T78" s="207"/>
      <c r="U78" s="207"/>
      <c r="V78" s="207"/>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207"/>
      <c r="AT78" s="207"/>
      <c r="AU78" s="207"/>
      <c r="AV78" s="207"/>
      <c r="AW78" s="207"/>
      <c r="AX78" s="207"/>
      <c r="AY78" s="207"/>
      <c r="AZ78" s="207"/>
      <c r="BA78" s="207"/>
      <c r="BB78" s="207"/>
      <c r="BC78" s="207"/>
      <c r="BD78" s="207"/>
    </row>
    <row r="79" spans="1:57" ht="11.25">
      <c r="A79" s="259" t="e">
        <f t="shared" si="24"/>
        <v>#REF!</v>
      </c>
      <c r="B79" s="260" t="str">
        <f t="shared" si="24"/>
        <v>C</v>
      </c>
      <c r="C79" s="261" t="e">
        <f t="shared" si="24"/>
        <v>#REF!</v>
      </c>
      <c r="D79" s="261" t="str">
        <f t="shared" si="24"/>
        <v>Subdirector Técnico</v>
      </c>
      <c r="E79" s="262" t="e">
        <f t="shared" si="25"/>
        <v>#REF!</v>
      </c>
      <c r="F79" s="261"/>
      <c r="G79" s="261"/>
      <c r="H79" s="261" t="e">
        <f t="shared" si="22"/>
        <v>#REF!</v>
      </c>
      <c r="I79" s="263" t="e">
        <f>ROUND((H79*rangos),0-3)</f>
        <v>#REF!</v>
      </c>
      <c r="J79" s="310" t="e">
        <f>I79/E79</f>
        <v>#REF!</v>
      </c>
      <c r="K79" s="340" t="str">
        <f t="shared" si="26"/>
        <v>1</v>
      </c>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7"/>
      <c r="AY79" s="207"/>
      <c r="AZ79" s="207"/>
      <c r="BA79" s="207"/>
      <c r="BB79" s="207"/>
      <c r="BC79" s="207"/>
      <c r="BD79" s="207"/>
      <c r="BE79" s="207"/>
    </row>
    <row r="80" spans="1:57" ht="11.25">
      <c r="A80" s="295"/>
      <c r="B80" s="295"/>
      <c r="C80" s="302"/>
      <c r="D80" s="302"/>
      <c r="E80" s="309"/>
      <c r="F80" s="207"/>
      <c r="G80" s="207"/>
      <c r="H80" s="207"/>
      <c r="I80" s="301"/>
      <c r="J80" s="301"/>
      <c r="K80" s="301"/>
      <c r="L80" s="301"/>
      <c r="M80" s="207"/>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207"/>
      <c r="AR80" s="207"/>
      <c r="AS80" s="207"/>
      <c r="AT80" s="207"/>
      <c r="AU80" s="207"/>
      <c r="AV80" s="207"/>
      <c r="AW80" s="207"/>
      <c r="AX80" s="207"/>
      <c r="AY80" s="207"/>
      <c r="AZ80" s="207"/>
      <c r="BA80" s="207"/>
      <c r="BB80" s="207"/>
      <c r="BC80" s="207"/>
      <c r="BD80" s="207"/>
      <c r="BE80" s="207"/>
    </row>
    <row r="81" spans="1:57" ht="11.25">
      <c r="A81" s="295"/>
      <c r="B81" s="295"/>
      <c r="C81" s="302"/>
      <c r="D81" s="302"/>
      <c r="E81" s="295"/>
      <c r="F81" s="304"/>
      <c r="G81" s="207"/>
      <c r="H81" s="207"/>
      <c r="I81" s="301"/>
      <c r="J81" s="301"/>
      <c r="K81" s="301"/>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07"/>
      <c r="AY81" s="207"/>
      <c r="AZ81" s="207"/>
      <c r="BA81" s="207"/>
      <c r="BB81" s="207"/>
      <c r="BC81" s="207"/>
      <c r="BD81" s="207"/>
      <c r="BE81" s="207"/>
    </row>
    <row r="82" spans="1:57" ht="11.25">
      <c r="A82" s="295"/>
      <c r="B82" s="295"/>
      <c r="C82" s="302"/>
      <c r="D82" s="302"/>
      <c r="E82" s="207"/>
      <c r="F82" s="207"/>
      <c r="G82" s="207"/>
      <c r="H82" s="207"/>
      <c r="I82" s="301"/>
      <c r="J82" s="301"/>
      <c r="K82" s="301"/>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207"/>
      <c r="BA82" s="207"/>
      <c r="BB82" s="207"/>
      <c r="BC82" s="207"/>
      <c r="BD82" s="207"/>
      <c r="BE82" s="207"/>
    </row>
    <row r="83" spans="1:57" ht="11.25">
      <c r="A83" s="295"/>
      <c r="B83" s="295"/>
      <c r="C83" s="302"/>
      <c r="D83" s="302"/>
      <c r="E83" s="207"/>
      <c r="F83" s="207"/>
      <c r="G83" s="207"/>
      <c r="H83" s="207"/>
      <c r="I83" s="301"/>
      <c r="J83" s="301"/>
      <c r="K83" s="301"/>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c r="AI83" s="207"/>
      <c r="AJ83" s="207"/>
      <c r="AK83" s="207"/>
      <c r="AL83" s="207"/>
      <c r="AM83" s="207"/>
      <c r="AN83" s="207"/>
      <c r="AO83" s="207"/>
      <c r="AP83" s="207"/>
      <c r="AQ83" s="207"/>
      <c r="AR83" s="207"/>
      <c r="AS83" s="207"/>
      <c r="AT83" s="207"/>
      <c r="AU83" s="207"/>
      <c r="AV83" s="207"/>
      <c r="AW83" s="207"/>
      <c r="AX83" s="207"/>
      <c r="AY83" s="207"/>
      <c r="AZ83" s="207"/>
      <c r="BA83" s="207"/>
      <c r="BB83" s="207"/>
      <c r="BC83" s="207"/>
      <c r="BD83" s="207"/>
      <c r="BE83" s="207"/>
    </row>
    <row r="84" spans="1:57" ht="11.25">
      <c r="A84" s="295"/>
      <c r="B84" s="295"/>
      <c r="C84" s="302"/>
      <c r="D84" s="302"/>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207"/>
      <c r="AM84" s="207"/>
      <c r="AN84" s="207"/>
      <c r="AO84" s="207"/>
      <c r="AP84" s="207"/>
      <c r="AQ84" s="207"/>
      <c r="AR84" s="207"/>
      <c r="AS84" s="207"/>
      <c r="AT84" s="207"/>
      <c r="AU84" s="207"/>
      <c r="AV84" s="207"/>
      <c r="AW84" s="207"/>
      <c r="AX84" s="207"/>
      <c r="AY84" s="207"/>
      <c r="AZ84" s="207"/>
      <c r="BA84" s="207"/>
      <c r="BB84" s="207"/>
      <c r="BC84" s="207"/>
      <c r="BD84" s="207"/>
      <c r="BE84" s="207"/>
    </row>
    <row r="85" spans="1:57" ht="11.25">
      <c r="A85" s="295"/>
      <c r="B85" s="295"/>
      <c r="C85" s="302"/>
      <c r="D85" s="302"/>
      <c r="E85" s="207"/>
      <c r="F85" s="207"/>
      <c r="G85" s="207"/>
      <c r="H85" s="207"/>
      <c r="I85" s="303"/>
      <c r="J85" s="207"/>
      <c r="K85" s="207"/>
      <c r="L85" s="207"/>
      <c r="M85" s="207"/>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207"/>
      <c r="AR85" s="207"/>
      <c r="AS85" s="207"/>
      <c r="AT85" s="207"/>
      <c r="AU85" s="207"/>
      <c r="AV85" s="207"/>
      <c r="AW85" s="207"/>
      <c r="AX85" s="207"/>
      <c r="AY85" s="207"/>
      <c r="AZ85" s="207"/>
      <c r="BA85" s="207"/>
      <c r="BB85" s="207"/>
      <c r="BC85" s="207"/>
      <c r="BD85" s="207"/>
      <c r="BE85" s="207"/>
    </row>
    <row r="86" spans="1:57" ht="11.25">
      <c r="A86" s="295"/>
      <c r="B86" s="295"/>
      <c r="C86" s="302"/>
      <c r="D86" s="302"/>
      <c r="E86" s="207"/>
      <c r="F86" s="207"/>
      <c r="G86" s="207"/>
      <c r="H86" s="207"/>
      <c r="I86" s="207"/>
      <c r="J86" s="207"/>
      <c r="K86" s="207"/>
      <c r="L86" s="207"/>
      <c r="M86" s="207"/>
      <c r="N86" s="207"/>
      <c r="O86" s="207"/>
      <c r="P86" s="207"/>
      <c r="Q86" s="207"/>
      <c r="R86" s="207"/>
      <c r="S86" s="207"/>
      <c r="T86" s="207"/>
      <c r="U86" s="207"/>
      <c r="V86" s="207"/>
      <c r="W86" s="207"/>
      <c r="X86" s="207"/>
      <c r="Y86" s="207"/>
      <c r="Z86" s="207"/>
      <c r="AA86" s="207"/>
      <c r="AB86" s="207"/>
      <c r="AC86" s="207"/>
      <c r="AD86" s="207"/>
      <c r="AE86" s="207"/>
      <c r="AF86" s="207"/>
      <c r="AG86" s="207"/>
      <c r="AH86" s="207"/>
      <c r="AI86" s="207"/>
      <c r="AJ86" s="207"/>
      <c r="AK86" s="207"/>
      <c r="AL86" s="207"/>
      <c r="AM86" s="207"/>
      <c r="AN86" s="207"/>
      <c r="AO86" s="207"/>
      <c r="AP86" s="207"/>
      <c r="AQ86" s="207"/>
      <c r="AR86" s="207"/>
      <c r="AS86" s="207"/>
      <c r="AT86" s="207"/>
      <c r="AU86" s="207"/>
      <c r="AV86" s="207"/>
      <c r="AW86" s="207"/>
      <c r="AX86" s="207"/>
      <c r="AY86" s="207"/>
      <c r="AZ86" s="207"/>
      <c r="BA86" s="207"/>
      <c r="BB86" s="207"/>
      <c r="BC86" s="207"/>
      <c r="BD86" s="207"/>
      <c r="BE86" s="207"/>
    </row>
    <row r="87" spans="1:57" ht="11.25">
      <c r="A87" s="295"/>
      <c r="B87" s="295"/>
      <c r="C87" s="302"/>
      <c r="D87" s="302"/>
      <c r="E87" s="207"/>
      <c r="F87" s="207"/>
      <c r="G87" s="207"/>
      <c r="H87" s="207"/>
      <c r="I87" s="207"/>
      <c r="J87" s="207"/>
      <c r="K87" s="207"/>
      <c r="L87" s="207"/>
      <c r="M87" s="207"/>
      <c r="N87" s="207"/>
      <c r="O87" s="207"/>
      <c r="P87" s="207"/>
      <c r="Q87" s="207"/>
      <c r="R87" s="207"/>
      <c r="S87" s="207"/>
      <c r="T87" s="207"/>
      <c r="U87" s="207"/>
      <c r="V87" s="207"/>
      <c r="W87" s="207"/>
      <c r="X87" s="207"/>
      <c r="Y87" s="207"/>
      <c r="Z87" s="207"/>
      <c r="AA87" s="207"/>
      <c r="AB87" s="207"/>
      <c r="AC87" s="207"/>
      <c r="AD87" s="207"/>
      <c r="AE87" s="207"/>
      <c r="AF87" s="207"/>
      <c r="AG87" s="207"/>
      <c r="AH87" s="207"/>
      <c r="AI87" s="207"/>
      <c r="AJ87" s="207"/>
      <c r="AK87" s="207"/>
      <c r="AL87" s="207"/>
      <c r="AM87" s="207"/>
      <c r="AN87" s="207"/>
      <c r="AO87" s="207"/>
      <c r="AP87" s="207"/>
      <c r="AQ87" s="207"/>
      <c r="AR87" s="207"/>
      <c r="AS87" s="207"/>
      <c r="AT87" s="207"/>
      <c r="AU87" s="207"/>
      <c r="AV87" s="207"/>
      <c r="AW87" s="207"/>
      <c r="AX87" s="207"/>
      <c r="AY87" s="207"/>
      <c r="AZ87" s="207"/>
      <c r="BA87" s="207"/>
      <c r="BB87" s="207"/>
      <c r="BC87" s="207"/>
      <c r="BD87" s="207"/>
      <c r="BE87" s="207"/>
    </row>
    <row r="88" spans="1:57" ht="11.25">
      <c r="A88" s="295"/>
      <c r="B88" s="295"/>
      <c r="C88" s="302"/>
      <c r="D88" s="302"/>
      <c r="E88" s="207"/>
      <c r="F88" s="207"/>
      <c r="G88" s="207"/>
      <c r="H88" s="207"/>
      <c r="I88" s="207"/>
      <c r="J88" s="207"/>
      <c r="K88" s="207"/>
      <c r="L88" s="207"/>
      <c r="M88" s="207"/>
      <c r="N88" s="207"/>
      <c r="O88" s="207"/>
      <c r="P88" s="207"/>
      <c r="Q88" s="207"/>
      <c r="R88" s="207"/>
      <c r="S88" s="207"/>
      <c r="T88" s="207"/>
      <c r="U88" s="207"/>
      <c r="V88" s="207"/>
      <c r="W88" s="207"/>
      <c r="X88" s="207"/>
      <c r="Y88" s="207"/>
      <c r="Z88" s="207"/>
      <c r="AA88" s="207"/>
      <c r="AB88" s="207"/>
      <c r="AC88" s="207"/>
      <c r="AD88" s="207"/>
      <c r="AE88" s="207"/>
      <c r="AF88" s="207"/>
      <c r="AG88" s="207"/>
      <c r="AH88" s="207"/>
      <c r="AI88" s="207"/>
      <c r="AJ88" s="207"/>
      <c r="AK88" s="207"/>
      <c r="AL88" s="207"/>
      <c r="AM88" s="207"/>
      <c r="AN88" s="207"/>
      <c r="AO88" s="207"/>
      <c r="AP88" s="207"/>
      <c r="AQ88" s="207"/>
      <c r="AR88" s="207"/>
      <c r="AS88" s="207"/>
      <c r="AT88" s="207"/>
      <c r="AU88" s="207"/>
      <c r="AV88" s="207"/>
      <c r="AW88" s="207"/>
      <c r="AX88" s="207"/>
      <c r="AY88" s="207"/>
      <c r="AZ88" s="207"/>
      <c r="BA88" s="207"/>
      <c r="BB88" s="207"/>
      <c r="BC88" s="207"/>
      <c r="BD88" s="207"/>
      <c r="BE88" s="207"/>
    </row>
    <row r="89" spans="1:57" ht="11.25">
      <c r="A89" s="295"/>
      <c r="B89" s="295"/>
      <c r="C89" s="302"/>
      <c r="D89" s="302"/>
      <c r="E89" s="207"/>
      <c r="F89" s="207"/>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row>
    <row r="90" spans="1:57" ht="11.25">
      <c r="A90" s="295"/>
      <c r="B90" s="295"/>
      <c r="C90" s="305"/>
      <c r="D90" s="302"/>
      <c r="E90" s="207"/>
      <c r="F90" s="207"/>
      <c r="G90" s="207"/>
      <c r="H90" s="207"/>
      <c r="I90" s="207"/>
      <c r="J90" s="207"/>
      <c r="K90" s="207"/>
      <c r="L90" s="207"/>
      <c r="M90" s="207"/>
      <c r="N90" s="207"/>
      <c r="O90" s="207"/>
      <c r="P90" s="207"/>
      <c r="Q90" s="207"/>
      <c r="R90" s="207"/>
      <c r="S90" s="207"/>
      <c r="T90" s="207"/>
      <c r="U90" s="207"/>
      <c r="V90" s="207"/>
      <c r="W90" s="207"/>
      <c r="X90" s="207"/>
      <c r="Y90" s="207"/>
      <c r="Z90" s="207"/>
      <c r="AA90" s="207"/>
      <c r="AB90" s="207"/>
      <c r="AC90" s="207"/>
      <c r="AD90" s="207"/>
      <c r="AE90" s="207"/>
      <c r="AF90" s="207"/>
      <c r="AG90" s="207"/>
      <c r="AH90" s="207"/>
      <c r="AI90" s="207"/>
      <c r="AJ90" s="207"/>
      <c r="AK90" s="207"/>
      <c r="AL90" s="207"/>
      <c r="AM90" s="207"/>
      <c r="AN90" s="207"/>
      <c r="AO90" s="207"/>
      <c r="AP90" s="207"/>
      <c r="AQ90" s="207"/>
      <c r="AR90" s="207"/>
      <c r="AS90" s="207"/>
      <c r="AT90" s="207"/>
      <c r="AU90" s="207"/>
      <c r="AV90" s="207"/>
      <c r="AW90" s="207"/>
      <c r="AX90" s="207"/>
      <c r="AY90" s="207"/>
      <c r="AZ90" s="207"/>
      <c r="BA90" s="207"/>
      <c r="BB90" s="207"/>
      <c r="BC90" s="207"/>
      <c r="BD90" s="207"/>
      <c r="BE90" s="207"/>
    </row>
    <row r="91" spans="1:57" ht="11.25">
      <c r="A91" s="295"/>
      <c r="B91" s="295"/>
      <c r="C91" s="305"/>
      <c r="D91" s="302"/>
      <c r="E91" s="207"/>
      <c r="F91" s="207"/>
      <c r="G91" s="207"/>
      <c r="H91" s="207"/>
      <c r="I91" s="207"/>
      <c r="J91" s="207"/>
      <c r="K91" s="207"/>
      <c r="L91" s="207"/>
      <c r="M91" s="207"/>
      <c r="N91" s="207"/>
      <c r="O91" s="207"/>
      <c r="P91" s="207"/>
      <c r="Q91" s="207"/>
      <c r="R91" s="207"/>
      <c r="S91" s="207"/>
      <c r="T91" s="207"/>
      <c r="U91" s="207"/>
      <c r="V91" s="207"/>
      <c r="W91" s="207"/>
      <c r="X91" s="207"/>
      <c r="Y91" s="207"/>
      <c r="Z91" s="207"/>
      <c r="AA91" s="207"/>
      <c r="AB91" s="207"/>
      <c r="AC91" s="207"/>
      <c r="AD91" s="207"/>
      <c r="AE91" s="207"/>
      <c r="AF91" s="207"/>
      <c r="AG91" s="207"/>
      <c r="AH91" s="207"/>
      <c r="AI91" s="207"/>
      <c r="AJ91" s="207"/>
      <c r="AK91" s="207"/>
      <c r="AL91" s="207"/>
      <c r="AM91" s="207"/>
      <c r="AN91" s="207"/>
      <c r="AO91" s="207"/>
      <c r="AP91" s="207"/>
      <c r="AQ91" s="207"/>
      <c r="AR91" s="207"/>
      <c r="AS91" s="207"/>
      <c r="AT91" s="207"/>
      <c r="AU91" s="207"/>
      <c r="AV91" s="207"/>
      <c r="AW91" s="207"/>
      <c r="AX91" s="207"/>
      <c r="AY91" s="207"/>
      <c r="AZ91" s="207"/>
      <c r="BA91" s="207"/>
      <c r="BB91" s="207"/>
      <c r="BC91" s="207"/>
      <c r="BD91" s="207"/>
      <c r="BE91" s="207"/>
    </row>
    <row r="92" spans="1:57" ht="11.25">
      <c r="A92" s="295"/>
      <c r="B92" s="295"/>
      <c r="C92" s="305"/>
      <c r="D92" s="302"/>
      <c r="E92" s="207"/>
      <c r="F92" s="207"/>
      <c r="G92" s="207"/>
      <c r="H92" s="207"/>
      <c r="I92" s="207"/>
      <c r="J92" s="207"/>
      <c r="K92" s="207"/>
      <c r="L92" s="207"/>
      <c r="M92" s="207"/>
      <c r="N92" s="207"/>
      <c r="O92" s="207"/>
      <c r="P92" s="207"/>
      <c r="Q92" s="207"/>
      <c r="R92" s="207"/>
      <c r="S92" s="207"/>
      <c r="T92" s="207"/>
      <c r="U92" s="207"/>
      <c r="V92" s="207"/>
      <c r="W92" s="207"/>
      <c r="X92" s="207"/>
      <c r="Y92" s="207"/>
      <c r="Z92" s="207"/>
      <c r="AA92" s="207"/>
      <c r="AB92" s="301">
        <v>51907558</v>
      </c>
      <c r="AC92" s="207"/>
      <c r="AD92" s="207"/>
      <c r="AE92" s="207"/>
      <c r="AF92" s="207"/>
      <c r="AG92" s="207"/>
      <c r="AH92" s="207"/>
      <c r="AI92" s="207"/>
      <c r="AJ92" s="207"/>
      <c r="AK92" s="207"/>
      <c r="AL92" s="207"/>
      <c r="AM92" s="207"/>
      <c r="AN92" s="207"/>
      <c r="AO92" s="207"/>
      <c r="AP92" s="207"/>
      <c r="AQ92" s="207"/>
      <c r="AR92" s="207"/>
      <c r="AS92" s="207"/>
      <c r="AT92" s="207"/>
      <c r="AU92" s="207"/>
      <c r="AV92" s="207"/>
      <c r="AW92" s="207"/>
      <c r="AX92" s="207"/>
      <c r="AY92" s="207"/>
      <c r="AZ92" s="207"/>
      <c r="BA92" s="207"/>
      <c r="BB92" s="207"/>
      <c r="BC92" s="207"/>
      <c r="BD92" s="207"/>
      <c r="BE92" s="207"/>
    </row>
    <row r="93" spans="1:57" ht="11.25">
      <c r="A93" s="295"/>
      <c r="B93" s="295"/>
      <c r="C93" s="305"/>
      <c r="D93" s="302"/>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301">
        <v>5653686</v>
      </c>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row>
    <row r="94" spans="1:57" ht="11.25">
      <c r="A94" s="295"/>
      <c r="B94" s="295"/>
      <c r="C94" s="302"/>
      <c r="D94" s="302"/>
      <c r="E94" s="207"/>
      <c r="F94" s="207"/>
      <c r="G94" s="207"/>
      <c r="H94" s="207"/>
      <c r="I94" s="207"/>
      <c r="J94" s="207"/>
      <c r="K94" s="207"/>
      <c r="L94" s="207"/>
      <c r="M94" s="207"/>
      <c r="N94" s="207"/>
      <c r="O94" s="207"/>
      <c r="P94" s="207"/>
      <c r="Q94" s="207"/>
      <c r="R94" s="207"/>
      <c r="S94" s="207"/>
      <c r="T94" s="207"/>
      <c r="U94" s="207"/>
      <c r="V94" s="207"/>
      <c r="W94" s="207"/>
      <c r="X94" s="207"/>
      <c r="Y94" s="207"/>
      <c r="Z94" s="207"/>
      <c r="AA94" s="207"/>
      <c r="AB94" s="306">
        <v>12692412</v>
      </c>
      <c r="AC94" s="207"/>
      <c r="AD94" s="207"/>
      <c r="AE94" s="207"/>
      <c r="AF94" s="207"/>
      <c r="AG94" s="207"/>
      <c r="AH94" s="207"/>
      <c r="AI94" s="207"/>
      <c r="AJ94" s="207"/>
      <c r="AK94" s="207"/>
      <c r="AL94" s="207"/>
      <c r="AM94" s="207"/>
      <c r="AN94" s="207"/>
      <c r="AO94" s="207"/>
      <c r="AP94" s="207"/>
      <c r="AQ94" s="207"/>
      <c r="AR94" s="207"/>
      <c r="AS94" s="207"/>
      <c r="AT94" s="207"/>
      <c r="AU94" s="207"/>
      <c r="AV94" s="207"/>
      <c r="AW94" s="207"/>
      <c r="AX94" s="207"/>
      <c r="AY94" s="207"/>
      <c r="AZ94" s="207"/>
      <c r="BA94" s="207"/>
      <c r="BB94" s="207"/>
      <c r="BC94" s="207"/>
      <c r="BD94" s="207"/>
      <c r="BE94" s="207"/>
    </row>
    <row r="95" spans="1:57" ht="11.25">
      <c r="A95" s="295"/>
      <c r="B95" s="295"/>
      <c r="C95" s="307"/>
      <c r="D95" s="302"/>
      <c r="E95" s="295"/>
      <c r="F95" s="207"/>
      <c r="G95" s="207"/>
      <c r="H95" s="207"/>
      <c r="I95" s="207"/>
      <c r="J95" s="207"/>
      <c r="K95" s="207"/>
      <c r="L95" s="207"/>
      <c r="M95" s="207"/>
      <c r="N95" s="207"/>
      <c r="O95" s="207"/>
      <c r="P95" s="207"/>
      <c r="Q95" s="207"/>
      <c r="R95" s="207"/>
      <c r="S95" s="207"/>
      <c r="T95" s="207"/>
      <c r="U95" s="207"/>
      <c r="V95" s="207"/>
      <c r="W95" s="207"/>
      <c r="X95" s="207"/>
      <c r="Y95" s="207"/>
      <c r="Z95" s="207"/>
      <c r="AA95" s="207"/>
      <c r="AB95" s="301">
        <f>2087126+104781+1490804+3622699+3378024+2203059+153524</f>
        <v>13040017</v>
      </c>
      <c r="AC95" s="207"/>
      <c r="AD95" s="207"/>
      <c r="AE95" s="207"/>
      <c r="AF95" s="207"/>
      <c r="AG95" s="207"/>
      <c r="AH95" s="207"/>
      <c r="AI95" s="207"/>
      <c r="AJ95" s="207"/>
      <c r="AK95" s="207"/>
      <c r="AL95" s="207"/>
      <c r="AM95" s="207"/>
      <c r="AN95" s="207"/>
      <c r="AO95" s="207"/>
      <c r="AP95" s="207"/>
      <c r="AQ95" s="207"/>
      <c r="AR95" s="207"/>
      <c r="AS95" s="207"/>
      <c r="AT95" s="207"/>
      <c r="AU95" s="207"/>
      <c r="AV95" s="207"/>
      <c r="AW95" s="207"/>
      <c r="AX95" s="207"/>
      <c r="AY95" s="207"/>
      <c r="AZ95" s="207"/>
      <c r="BA95" s="207"/>
      <c r="BB95" s="207"/>
      <c r="BC95" s="207"/>
      <c r="BD95" s="207"/>
      <c r="BE95" s="207"/>
    </row>
    <row r="96" spans="1:57" ht="11.25">
      <c r="A96" s="295"/>
      <c r="B96" s="295"/>
      <c r="C96" s="308"/>
      <c r="D96" s="302"/>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309">
        <f>SUM(AB92:AB95)</f>
        <v>83293673</v>
      </c>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row>
    <row r="97" spans="1:57" ht="11.25">
      <c r="A97" s="295"/>
      <c r="B97" s="295"/>
      <c r="C97" s="302"/>
      <c r="D97" s="302"/>
      <c r="E97" s="207"/>
      <c r="F97" s="207"/>
      <c r="G97" s="207"/>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7"/>
      <c r="AH97" s="207"/>
      <c r="AI97" s="207"/>
      <c r="AJ97" s="207"/>
      <c r="AK97" s="207"/>
      <c r="AL97" s="207"/>
      <c r="AM97" s="207"/>
      <c r="AN97" s="207"/>
      <c r="AO97" s="207"/>
      <c r="AP97" s="207"/>
      <c r="AQ97" s="207"/>
      <c r="AR97" s="207"/>
      <c r="AS97" s="207"/>
      <c r="AT97" s="207"/>
      <c r="AU97" s="207"/>
      <c r="AV97" s="207"/>
      <c r="AW97" s="207"/>
      <c r="AX97" s="207"/>
      <c r="AY97" s="207"/>
      <c r="AZ97" s="207"/>
      <c r="BA97" s="207"/>
      <c r="BB97" s="207"/>
      <c r="BC97" s="207"/>
      <c r="BD97" s="207"/>
      <c r="BE97" s="207"/>
    </row>
    <row r="98" spans="1:57" ht="11.25">
      <c r="A98" s="295"/>
      <c r="B98" s="295"/>
      <c r="C98" s="302"/>
      <c r="D98" s="305"/>
      <c r="E98" s="295"/>
      <c r="F98" s="207"/>
      <c r="G98" s="207"/>
      <c r="H98" s="207"/>
      <c r="I98" s="207"/>
      <c r="J98" s="207"/>
      <c r="K98" s="207"/>
      <c r="L98" s="207"/>
      <c r="M98" s="207"/>
      <c r="N98" s="207"/>
      <c r="O98" s="207"/>
      <c r="P98" s="207"/>
      <c r="Q98" s="207"/>
      <c r="R98" s="207"/>
      <c r="S98" s="207"/>
      <c r="T98" s="207"/>
      <c r="U98" s="207"/>
      <c r="V98" s="207"/>
      <c r="W98" s="207"/>
      <c r="X98" s="207"/>
      <c r="Y98" s="207"/>
      <c r="Z98" s="207"/>
      <c r="AA98" s="207"/>
      <c r="AB98" s="207"/>
      <c r="AC98" s="207"/>
      <c r="AD98" s="207"/>
      <c r="AE98" s="207"/>
      <c r="AF98" s="207"/>
      <c r="AG98" s="207"/>
      <c r="AH98" s="207"/>
      <c r="AI98" s="207"/>
      <c r="AJ98" s="207"/>
      <c r="AK98" s="207"/>
      <c r="AL98" s="207"/>
      <c r="AM98" s="207"/>
      <c r="AN98" s="207"/>
      <c r="AO98" s="207"/>
      <c r="AP98" s="207"/>
      <c r="AQ98" s="207"/>
      <c r="AR98" s="207"/>
      <c r="AS98" s="207"/>
      <c r="AT98" s="207"/>
      <c r="AU98" s="207"/>
      <c r="AV98" s="207"/>
      <c r="AW98" s="207"/>
      <c r="AX98" s="207"/>
      <c r="AY98" s="207"/>
      <c r="AZ98" s="207"/>
      <c r="BA98" s="207"/>
      <c r="BB98" s="207"/>
      <c r="BC98" s="207"/>
      <c r="BD98" s="207"/>
      <c r="BE98" s="207"/>
    </row>
    <row r="99" spans="1:57" ht="11.25">
      <c r="A99" s="295"/>
      <c r="B99" s="295"/>
      <c r="C99" s="302"/>
      <c r="D99" s="302"/>
      <c r="E99" s="295"/>
      <c r="F99" s="207"/>
      <c r="G99" s="207"/>
      <c r="H99" s="207"/>
      <c r="I99" s="207"/>
      <c r="J99" s="207"/>
      <c r="K99" s="207"/>
      <c r="L99" s="207"/>
      <c r="M99" s="207"/>
      <c r="N99" s="207"/>
      <c r="O99" s="207"/>
      <c r="P99" s="207"/>
      <c r="Q99" s="207"/>
      <c r="R99" s="207"/>
      <c r="S99" s="207"/>
      <c r="T99" s="207"/>
      <c r="U99" s="207"/>
      <c r="V99" s="207"/>
      <c r="W99" s="207"/>
      <c r="X99" s="207"/>
      <c r="Y99" s="207"/>
      <c r="Z99" s="207"/>
      <c r="AA99" s="207"/>
      <c r="AB99" s="207"/>
      <c r="AC99" s="207"/>
      <c r="AD99" s="207"/>
      <c r="AE99" s="207"/>
      <c r="AF99" s="207"/>
      <c r="AG99" s="207"/>
      <c r="AH99" s="207"/>
      <c r="AI99" s="207"/>
      <c r="AJ99" s="207"/>
      <c r="AK99" s="207"/>
      <c r="AL99" s="207"/>
      <c r="AM99" s="207"/>
      <c r="AN99" s="207"/>
      <c r="AO99" s="207"/>
      <c r="AP99" s="207"/>
      <c r="AQ99" s="207"/>
      <c r="AR99" s="207"/>
      <c r="AS99" s="207"/>
      <c r="AT99" s="207"/>
      <c r="AU99" s="207"/>
      <c r="AV99" s="207"/>
      <c r="AW99" s="207"/>
      <c r="AX99" s="207"/>
      <c r="AY99" s="207"/>
      <c r="AZ99" s="207"/>
      <c r="BA99" s="207"/>
      <c r="BB99" s="207"/>
      <c r="BC99" s="207"/>
      <c r="BD99" s="207"/>
      <c r="BE99" s="207"/>
    </row>
    <row r="100" spans="1:57" ht="11.25">
      <c r="A100" s="295"/>
      <c r="B100" s="295"/>
      <c r="C100" s="302"/>
      <c r="D100" s="302"/>
      <c r="E100" s="295"/>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row>
    <row r="101" spans="1:57" ht="11.25">
      <c r="A101" s="295"/>
      <c r="B101" s="295"/>
      <c r="C101" s="302"/>
      <c r="D101" s="302"/>
      <c r="E101" s="207"/>
      <c r="F101" s="207"/>
      <c r="G101" s="207"/>
      <c r="H101" s="207"/>
      <c r="I101" s="207"/>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c r="AG101" s="207"/>
      <c r="AH101" s="207"/>
      <c r="AI101" s="207"/>
      <c r="AJ101" s="207"/>
      <c r="AK101" s="207"/>
      <c r="AL101" s="207"/>
      <c r="AM101" s="207"/>
      <c r="AN101" s="207"/>
      <c r="AO101" s="207"/>
      <c r="AP101" s="207"/>
      <c r="AQ101" s="207"/>
      <c r="AR101" s="207"/>
      <c r="AS101" s="207"/>
      <c r="AT101" s="207"/>
      <c r="AU101" s="207"/>
      <c r="AV101" s="207"/>
      <c r="AW101" s="207"/>
      <c r="AX101" s="207"/>
      <c r="AY101" s="207"/>
      <c r="AZ101" s="207"/>
      <c r="BA101" s="207"/>
      <c r="BB101" s="207"/>
      <c r="BC101" s="207"/>
      <c r="BD101" s="207"/>
      <c r="BE101" s="207"/>
    </row>
    <row r="102" spans="1:57" ht="11.25">
      <c r="A102" s="295"/>
      <c r="B102" s="295"/>
      <c r="C102" s="302"/>
      <c r="D102" s="302"/>
      <c r="E102" s="207"/>
      <c r="F102" s="207"/>
      <c r="G102" s="207"/>
      <c r="H102" s="207"/>
      <c r="I102" s="207"/>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207"/>
      <c r="AL102" s="207"/>
      <c r="AM102" s="207"/>
      <c r="AN102" s="207"/>
      <c r="AO102" s="207"/>
      <c r="AP102" s="207"/>
      <c r="AQ102" s="207"/>
      <c r="AR102" s="207"/>
      <c r="AS102" s="207"/>
      <c r="AT102" s="207"/>
      <c r="AU102" s="207"/>
      <c r="AV102" s="207"/>
      <c r="AW102" s="207"/>
      <c r="AX102" s="207"/>
      <c r="AY102" s="207"/>
      <c r="AZ102" s="207"/>
      <c r="BA102" s="207"/>
      <c r="BB102" s="207"/>
      <c r="BC102" s="207"/>
      <c r="BD102" s="207"/>
      <c r="BE102" s="207"/>
    </row>
    <row r="103" spans="1:57" ht="11.25">
      <c r="A103" s="295"/>
      <c r="B103" s="295"/>
      <c r="C103" s="302"/>
      <c r="D103" s="302"/>
      <c r="E103" s="207"/>
      <c r="F103" s="207"/>
      <c r="G103" s="207"/>
      <c r="H103" s="207"/>
      <c r="I103" s="207"/>
      <c r="J103" s="207"/>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c r="AI103" s="207"/>
      <c r="AJ103" s="207"/>
      <c r="AK103" s="207"/>
      <c r="AL103" s="207"/>
      <c r="AM103" s="207"/>
      <c r="AN103" s="207"/>
      <c r="AO103" s="207"/>
      <c r="AP103" s="207"/>
      <c r="AQ103" s="207"/>
      <c r="AR103" s="207"/>
      <c r="AS103" s="207"/>
      <c r="AT103" s="207"/>
      <c r="AU103" s="207"/>
      <c r="AV103" s="207"/>
      <c r="AW103" s="207"/>
      <c r="AX103" s="207"/>
      <c r="AY103" s="207"/>
      <c r="AZ103" s="207"/>
      <c r="BA103" s="207"/>
      <c r="BB103" s="207"/>
      <c r="BC103" s="207"/>
      <c r="BD103" s="207"/>
      <c r="BE103" s="207"/>
    </row>
    <row r="104" spans="1:57" ht="11.25">
      <c r="A104" s="295"/>
      <c r="B104" s="295"/>
      <c r="C104" s="302"/>
      <c r="D104" s="302"/>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row>
    <row r="105" spans="1:57" ht="11.25">
      <c r="A105" s="295"/>
      <c r="B105" s="295"/>
      <c r="C105" s="302"/>
      <c r="D105" s="302"/>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row>
    <row r="106" spans="1:57" ht="11.25">
      <c r="A106" s="295"/>
      <c r="B106" s="295"/>
      <c r="C106" s="302"/>
      <c r="D106" s="302"/>
      <c r="E106" s="207"/>
      <c r="F106" s="207"/>
      <c r="G106" s="207"/>
      <c r="H106" s="207"/>
      <c r="I106" s="207"/>
      <c r="J106" s="207"/>
      <c r="K106" s="207"/>
      <c r="L106" s="207"/>
      <c r="M106" s="207"/>
      <c r="N106" s="207"/>
      <c r="O106" s="207"/>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7"/>
      <c r="AZ106" s="207"/>
      <c r="BA106" s="207"/>
      <c r="BB106" s="207"/>
      <c r="BC106" s="207"/>
      <c r="BD106" s="207"/>
      <c r="BE106" s="207"/>
    </row>
    <row r="107" spans="1:57" ht="11.25">
      <c r="A107" s="295"/>
      <c r="B107" s="295"/>
      <c r="C107" s="302"/>
      <c r="D107" s="302"/>
      <c r="E107" s="207"/>
      <c r="F107" s="207"/>
      <c r="G107" s="207"/>
      <c r="H107" s="207"/>
      <c r="I107" s="207"/>
      <c r="J107" s="207"/>
      <c r="K107" s="207"/>
      <c r="L107" s="207"/>
      <c r="M107" s="207"/>
      <c r="N107" s="207"/>
      <c r="O107" s="207"/>
      <c r="P107" s="207"/>
      <c r="Q107" s="207"/>
      <c r="R107" s="207"/>
      <c r="S107" s="207"/>
      <c r="T107" s="207"/>
      <c r="U107" s="207"/>
      <c r="V107" s="207"/>
      <c r="W107" s="207"/>
      <c r="X107" s="207"/>
      <c r="Y107" s="207"/>
      <c r="Z107" s="207"/>
      <c r="AA107" s="207"/>
      <c r="AB107" s="207"/>
      <c r="AC107" s="207"/>
      <c r="AD107" s="207"/>
      <c r="AE107" s="207"/>
      <c r="AF107" s="207"/>
      <c r="AG107" s="207"/>
      <c r="AH107" s="207"/>
      <c r="AI107" s="207"/>
      <c r="AJ107" s="207"/>
      <c r="AK107" s="207"/>
      <c r="AL107" s="207"/>
      <c r="AM107" s="207"/>
      <c r="AN107" s="207"/>
      <c r="AO107" s="207"/>
      <c r="AP107" s="207"/>
      <c r="AQ107" s="207"/>
      <c r="AR107" s="207"/>
      <c r="AS107" s="207"/>
      <c r="AT107" s="207"/>
      <c r="AU107" s="207"/>
      <c r="AV107" s="207"/>
      <c r="AW107" s="207"/>
      <c r="AX107" s="207"/>
      <c r="AY107" s="207"/>
      <c r="AZ107" s="207"/>
      <c r="BA107" s="207"/>
      <c r="BB107" s="207"/>
      <c r="BC107" s="207"/>
      <c r="BD107" s="207"/>
      <c r="BE107" s="207"/>
    </row>
    <row r="108" spans="1:57" ht="11.25">
      <c r="A108" s="295"/>
      <c r="B108" s="295"/>
      <c r="C108" s="302"/>
      <c r="D108" s="302"/>
      <c r="E108" s="207"/>
      <c r="F108" s="207"/>
      <c r="G108" s="207"/>
      <c r="H108" s="207"/>
      <c r="I108" s="207"/>
      <c r="J108" s="207"/>
      <c r="K108" s="207"/>
      <c r="L108" s="207"/>
      <c r="M108" s="207"/>
      <c r="N108" s="207"/>
      <c r="O108" s="207"/>
      <c r="P108" s="207"/>
      <c r="Q108" s="207"/>
      <c r="R108" s="207"/>
      <c r="S108" s="207"/>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7"/>
      <c r="AV108" s="207"/>
      <c r="AW108" s="207"/>
      <c r="AX108" s="207"/>
      <c r="AY108" s="207"/>
      <c r="AZ108" s="207"/>
      <c r="BA108" s="207"/>
      <c r="BB108" s="207"/>
      <c r="BC108" s="207"/>
      <c r="BD108" s="207"/>
      <c r="BE108" s="207"/>
    </row>
    <row r="109" spans="1:57" ht="11.25">
      <c r="A109" s="295"/>
      <c r="B109" s="295"/>
      <c r="C109" s="302"/>
      <c r="D109" s="302"/>
      <c r="E109" s="207"/>
      <c r="F109" s="207"/>
      <c r="G109" s="207"/>
      <c r="H109" s="207"/>
      <c r="I109" s="207"/>
      <c r="J109" s="207"/>
      <c r="K109" s="207"/>
      <c r="L109" s="207"/>
      <c r="M109" s="207"/>
      <c r="N109" s="207"/>
      <c r="O109" s="207"/>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7"/>
      <c r="AZ109" s="207"/>
      <c r="BA109" s="207"/>
      <c r="BB109" s="207"/>
      <c r="BC109" s="207"/>
      <c r="BD109" s="207"/>
      <c r="BE109" s="207"/>
    </row>
    <row r="110" spans="1:57" ht="11.25">
      <c r="A110" s="295"/>
      <c r="B110" s="295"/>
      <c r="C110" s="302"/>
      <c r="D110" s="302"/>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7"/>
      <c r="AY110" s="207"/>
      <c r="AZ110" s="207"/>
      <c r="BA110" s="207"/>
      <c r="BB110" s="207"/>
      <c r="BC110" s="207"/>
      <c r="BD110" s="207"/>
      <c r="BE110" s="207"/>
    </row>
    <row r="111" spans="1:57" ht="11.25">
      <c r="A111" s="295"/>
      <c r="B111" s="295"/>
      <c r="C111" s="302"/>
      <c r="D111" s="302"/>
      <c r="E111" s="207"/>
      <c r="F111" s="207"/>
      <c r="G111" s="207"/>
      <c r="H111" s="207"/>
      <c r="I111" s="207"/>
      <c r="J111" s="207"/>
      <c r="K111" s="207"/>
      <c r="L111" s="207"/>
      <c r="M111" s="207"/>
      <c r="N111" s="207"/>
      <c r="O111" s="207"/>
      <c r="P111" s="207"/>
      <c r="Q111" s="207"/>
      <c r="R111" s="207"/>
      <c r="S111" s="207"/>
      <c r="T111" s="207"/>
      <c r="U111" s="207"/>
      <c r="V111" s="207"/>
      <c r="W111" s="207"/>
      <c r="X111" s="207"/>
      <c r="Y111" s="207"/>
      <c r="Z111" s="207"/>
      <c r="AA111" s="207"/>
      <c r="AB111" s="207"/>
      <c r="AC111" s="207"/>
      <c r="AD111" s="207"/>
      <c r="AE111" s="207"/>
      <c r="AF111" s="207"/>
      <c r="AG111" s="207"/>
      <c r="AH111" s="207"/>
      <c r="AI111" s="207"/>
      <c r="AJ111" s="207"/>
      <c r="AK111" s="207"/>
      <c r="AL111" s="207"/>
      <c r="AM111" s="207"/>
      <c r="AN111" s="207"/>
      <c r="AO111" s="207"/>
      <c r="AP111" s="207"/>
      <c r="AQ111" s="207"/>
      <c r="AR111" s="207"/>
      <c r="AS111" s="207"/>
      <c r="AT111" s="207"/>
      <c r="AU111" s="207"/>
      <c r="AV111" s="207"/>
      <c r="AW111" s="207"/>
      <c r="AX111" s="207"/>
      <c r="AY111" s="207"/>
      <c r="AZ111" s="207"/>
      <c r="BA111" s="207"/>
      <c r="BB111" s="207"/>
      <c r="BC111" s="207"/>
      <c r="BD111" s="207"/>
      <c r="BE111" s="207"/>
    </row>
    <row r="112" spans="1:57" ht="11.25">
      <c r="A112" s="295"/>
      <c r="B112" s="295"/>
      <c r="C112" s="302"/>
      <c r="D112" s="302"/>
      <c r="E112" s="207"/>
      <c r="F112" s="207"/>
      <c r="G112" s="207"/>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7"/>
      <c r="AY112" s="207"/>
      <c r="AZ112" s="207"/>
      <c r="BA112" s="207"/>
      <c r="BB112" s="295"/>
      <c r="BC112" s="207"/>
      <c r="BD112" s="207"/>
      <c r="BE112" s="207"/>
    </row>
    <row r="113" spans="1:57" ht="11.25">
      <c r="A113" s="295"/>
      <c r="B113" s="295"/>
      <c r="C113" s="302"/>
      <c r="D113" s="302"/>
      <c r="E113" s="207"/>
      <c r="F113" s="207"/>
      <c r="G113" s="207"/>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7"/>
      <c r="AY113" s="207"/>
      <c r="AZ113" s="207"/>
      <c r="BA113" s="207"/>
      <c r="BB113" s="295"/>
      <c r="BC113" s="295"/>
      <c r="BD113" s="207"/>
      <c r="BE113" s="207"/>
    </row>
    <row r="114" spans="1:57" ht="11.25">
      <c r="A114" s="295"/>
      <c r="B114" s="295"/>
      <c r="C114" s="302"/>
      <c r="D114" s="302"/>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7"/>
      <c r="AU114" s="207"/>
      <c r="AV114" s="207"/>
      <c r="AW114" s="207"/>
      <c r="AX114" s="207"/>
      <c r="AY114" s="207"/>
      <c r="AZ114" s="207"/>
      <c r="BA114" s="207"/>
      <c r="BB114" s="295"/>
      <c r="BC114" s="207"/>
      <c r="BD114" s="207"/>
      <c r="BE114" s="207"/>
    </row>
    <row r="115" spans="1:57" ht="11.25">
      <c r="A115" s="295"/>
      <c r="B115" s="295"/>
      <c r="C115" s="302"/>
      <c r="D115" s="302"/>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07"/>
      <c r="AY115" s="207"/>
      <c r="AZ115" s="207"/>
      <c r="BA115" s="207"/>
      <c r="BB115" s="295"/>
      <c r="BC115" s="207"/>
      <c r="BD115" s="207"/>
      <c r="BE115" s="207"/>
    </row>
    <row r="116" spans="1:57" ht="11.25">
      <c r="A116" s="295"/>
      <c r="B116" s="295"/>
      <c r="C116" s="302"/>
      <c r="D116" s="302"/>
      <c r="E116" s="207"/>
      <c r="F116" s="207"/>
      <c r="G116" s="207"/>
      <c r="H116" s="207"/>
      <c r="I116" s="207"/>
      <c r="J116" s="207"/>
      <c r="K116" s="207"/>
      <c r="L116" s="207"/>
      <c r="M116" s="207"/>
      <c r="N116" s="207"/>
      <c r="O116" s="207"/>
      <c r="P116" s="207"/>
      <c r="Q116" s="207"/>
      <c r="R116" s="207"/>
      <c r="S116" s="207"/>
      <c r="T116" s="207"/>
      <c r="U116" s="207"/>
      <c r="V116" s="207"/>
      <c r="W116" s="207"/>
      <c r="X116" s="207"/>
      <c r="Y116" s="207"/>
      <c r="Z116" s="207"/>
      <c r="AA116" s="207"/>
      <c r="AB116" s="207"/>
      <c r="AC116" s="207"/>
      <c r="AD116" s="207"/>
      <c r="AE116" s="207"/>
      <c r="AF116" s="207"/>
      <c r="AG116" s="207"/>
      <c r="AH116" s="207"/>
      <c r="AI116" s="207"/>
      <c r="AJ116" s="207"/>
      <c r="AK116" s="207"/>
      <c r="AL116" s="207"/>
      <c r="AM116" s="207"/>
      <c r="AN116" s="207"/>
      <c r="AO116" s="207"/>
      <c r="AP116" s="207"/>
      <c r="AQ116" s="207"/>
      <c r="AR116" s="207"/>
      <c r="AS116" s="207"/>
      <c r="AT116" s="207"/>
      <c r="AU116" s="207"/>
      <c r="AV116" s="207"/>
      <c r="AW116" s="207"/>
      <c r="AX116" s="207"/>
      <c r="AY116" s="207"/>
      <c r="AZ116" s="207"/>
      <c r="BA116" s="207"/>
      <c r="BB116" s="295"/>
      <c r="BC116" s="207"/>
      <c r="BD116" s="207"/>
      <c r="BE116" s="207"/>
    </row>
    <row r="117" spans="1:57" ht="11.25">
      <c r="A117" s="295"/>
      <c r="B117" s="295"/>
      <c r="C117" s="302"/>
      <c r="D117" s="302"/>
      <c r="E117" s="207"/>
      <c r="F117" s="207"/>
      <c r="G117" s="207"/>
      <c r="H117" s="207"/>
      <c r="I117" s="207"/>
      <c r="J117" s="207"/>
      <c r="K117" s="207"/>
      <c r="L117" s="207"/>
      <c r="M117" s="207"/>
      <c r="N117" s="207"/>
      <c r="O117" s="207"/>
      <c r="P117" s="207"/>
      <c r="Q117" s="207"/>
      <c r="R117" s="207"/>
      <c r="S117" s="207"/>
      <c r="T117" s="207"/>
      <c r="U117" s="207"/>
      <c r="V117" s="207"/>
      <c r="W117" s="207"/>
      <c r="X117" s="207"/>
      <c r="Y117" s="207"/>
      <c r="Z117" s="207"/>
      <c r="AA117" s="207"/>
      <c r="AB117" s="207"/>
      <c r="AC117" s="207"/>
      <c r="AD117" s="207"/>
      <c r="AE117" s="207"/>
      <c r="AF117" s="207"/>
      <c r="AG117" s="207"/>
      <c r="AH117" s="207"/>
      <c r="AI117" s="207"/>
      <c r="AJ117" s="207"/>
      <c r="AK117" s="207"/>
      <c r="AL117" s="207"/>
      <c r="AM117" s="207"/>
      <c r="AN117" s="207"/>
      <c r="AO117" s="207"/>
      <c r="AP117" s="207"/>
      <c r="AQ117" s="207"/>
      <c r="AR117" s="207"/>
      <c r="AS117" s="207"/>
      <c r="AT117" s="207"/>
      <c r="AU117" s="207"/>
      <c r="AV117" s="207"/>
      <c r="AW117" s="207"/>
      <c r="AX117" s="207"/>
      <c r="AY117" s="207"/>
      <c r="AZ117" s="207"/>
      <c r="BA117" s="207"/>
      <c r="BB117" s="300"/>
      <c r="BC117" s="207"/>
      <c r="BD117" s="207"/>
      <c r="BE117" s="207"/>
    </row>
    <row r="118" spans="1:57" ht="11.25">
      <c r="A118" s="295"/>
      <c r="B118" s="295"/>
      <c r="C118" s="302"/>
      <c r="D118" s="302"/>
      <c r="E118" s="207"/>
      <c r="F118" s="207"/>
      <c r="G118" s="207"/>
      <c r="H118" s="207"/>
      <c r="I118" s="207"/>
      <c r="J118" s="207"/>
      <c r="K118" s="207"/>
      <c r="L118" s="207"/>
      <c r="M118" s="207"/>
      <c r="N118" s="207"/>
      <c r="O118" s="207"/>
      <c r="P118" s="207"/>
      <c r="Q118" s="207"/>
      <c r="R118" s="207"/>
      <c r="S118" s="207"/>
      <c r="T118" s="207"/>
      <c r="U118" s="207"/>
      <c r="V118" s="207"/>
      <c r="W118" s="207"/>
      <c r="X118" s="207"/>
      <c r="Y118" s="207"/>
      <c r="Z118" s="207"/>
      <c r="AA118" s="207"/>
      <c r="AB118" s="207"/>
      <c r="AC118" s="207"/>
      <c r="AD118" s="207"/>
      <c r="AE118" s="207"/>
      <c r="AF118" s="207"/>
      <c r="AG118" s="207"/>
      <c r="AH118" s="207"/>
      <c r="AI118" s="207"/>
      <c r="AJ118" s="207"/>
      <c r="AK118" s="207"/>
      <c r="AL118" s="207"/>
      <c r="AM118" s="207"/>
      <c r="AN118" s="207"/>
      <c r="AO118" s="207"/>
      <c r="AP118" s="207"/>
      <c r="AQ118" s="207"/>
      <c r="AR118" s="207"/>
      <c r="AS118" s="207"/>
      <c r="AT118" s="207"/>
      <c r="AU118" s="207"/>
      <c r="AV118" s="207"/>
      <c r="AW118" s="207"/>
      <c r="AX118" s="207"/>
      <c r="AY118" s="207"/>
      <c r="AZ118" s="207"/>
      <c r="BA118" s="207"/>
      <c r="BB118" s="207"/>
      <c r="BC118" s="207"/>
      <c r="BD118" s="207"/>
      <c r="BE118" s="207"/>
    </row>
    <row r="119" spans="1:57" ht="11.25">
      <c r="A119" s="295"/>
      <c r="B119" s="295"/>
      <c r="C119" s="302"/>
      <c r="D119" s="302"/>
      <c r="E119" s="207"/>
      <c r="F119" s="207"/>
      <c r="G119" s="207"/>
      <c r="H119" s="207"/>
      <c r="I119" s="207"/>
      <c r="J119" s="207"/>
      <c r="K119" s="207"/>
      <c r="L119" s="207"/>
      <c r="M119" s="207"/>
      <c r="N119" s="207"/>
      <c r="O119" s="207"/>
      <c r="P119" s="207"/>
      <c r="Q119" s="207"/>
      <c r="R119" s="207"/>
      <c r="S119" s="207"/>
      <c r="T119" s="207"/>
      <c r="U119" s="207"/>
      <c r="V119" s="207"/>
      <c r="W119" s="207"/>
      <c r="X119" s="207"/>
      <c r="Y119" s="207"/>
      <c r="Z119" s="207"/>
      <c r="AA119" s="207"/>
      <c r="AB119" s="207"/>
      <c r="AC119" s="207"/>
      <c r="AD119" s="207"/>
      <c r="AE119" s="207"/>
      <c r="AF119" s="207"/>
      <c r="AG119" s="207"/>
      <c r="AH119" s="207"/>
      <c r="AI119" s="207"/>
      <c r="AJ119" s="207"/>
      <c r="AK119" s="207"/>
      <c r="AL119" s="207"/>
      <c r="AM119" s="207"/>
      <c r="AN119" s="207"/>
      <c r="AO119" s="207"/>
      <c r="AP119" s="207"/>
      <c r="AQ119" s="207"/>
      <c r="AR119" s="207"/>
      <c r="AS119" s="207"/>
      <c r="AT119" s="207"/>
      <c r="AU119" s="207"/>
      <c r="AV119" s="207"/>
      <c r="AW119" s="207"/>
      <c r="AX119" s="207"/>
      <c r="AY119" s="207"/>
      <c r="AZ119" s="207"/>
      <c r="BA119" s="207"/>
      <c r="BB119" s="207"/>
      <c r="BC119" s="207"/>
      <c r="BD119" s="207"/>
      <c r="BE119" s="207"/>
    </row>
    <row r="120" spans="1:57" ht="11.25">
      <c r="A120" s="295"/>
      <c r="B120" s="295"/>
      <c r="C120" s="302"/>
      <c r="D120" s="302"/>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c r="AH120" s="207"/>
      <c r="AI120" s="207"/>
      <c r="AJ120" s="207"/>
      <c r="AK120" s="207"/>
      <c r="AL120" s="207"/>
      <c r="AM120" s="207"/>
      <c r="AN120" s="207"/>
      <c r="AO120" s="207"/>
      <c r="AP120" s="207"/>
      <c r="AQ120" s="207"/>
      <c r="AR120" s="207"/>
      <c r="AS120" s="207"/>
      <c r="AT120" s="207"/>
      <c r="AU120" s="207"/>
      <c r="AV120" s="207"/>
      <c r="AW120" s="207"/>
      <c r="AX120" s="207"/>
      <c r="AY120" s="207"/>
      <c r="AZ120" s="207"/>
      <c r="BA120" s="207"/>
      <c r="BB120" s="207"/>
      <c r="BC120" s="207"/>
      <c r="BD120" s="207"/>
      <c r="BE120" s="207"/>
    </row>
    <row r="121" spans="1:57" ht="11.25">
      <c r="A121" s="295"/>
      <c r="B121" s="295"/>
      <c r="C121" s="302"/>
      <c r="D121" s="302"/>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c r="AH121" s="207"/>
      <c r="AI121" s="207"/>
      <c r="AJ121" s="207"/>
      <c r="AK121" s="207"/>
      <c r="AL121" s="207"/>
      <c r="AM121" s="207"/>
      <c r="AN121" s="207"/>
      <c r="AO121" s="207"/>
      <c r="AP121" s="207"/>
      <c r="AQ121" s="207"/>
      <c r="AR121" s="207"/>
      <c r="AS121" s="207"/>
      <c r="AT121" s="207"/>
      <c r="AU121" s="207"/>
      <c r="AV121" s="207"/>
      <c r="AW121" s="207"/>
      <c r="AX121" s="207"/>
      <c r="AY121" s="207"/>
      <c r="AZ121" s="207"/>
      <c r="BA121" s="207"/>
      <c r="BB121" s="207"/>
      <c r="BC121" s="207"/>
      <c r="BD121" s="207"/>
      <c r="BE121" s="207"/>
    </row>
    <row r="122" spans="1:57" ht="11.25">
      <c r="A122" s="295"/>
      <c r="B122" s="295"/>
      <c r="C122" s="302"/>
      <c r="D122" s="302"/>
      <c r="E122" s="207"/>
      <c r="F122" s="207"/>
      <c r="G122" s="207"/>
      <c r="H122" s="207"/>
      <c r="I122" s="207"/>
      <c r="J122" s="207"/>
      <c r="K122" s="207"/>
      <c r="L122" s="207"/>
      <c r="M122" s="207"/>
      <c r="N122" s="207"/>
      <c r="O122" s="207"/>
      <c r="P122" s="207"/>
      <c r="Q122" s="207"/>
      <c r="R122" s="207"/>
      <c r="S122" s="207"/>
      <c r="T122" s="207"/>
      <c r="U122" s="207"/>
      <c r="V122" s="207"/>
      <c r="W122" s="207"/>
      <c r="X122" s="207"/>
      <c r="Y122" s="207"/>
      <c r="Z122" s="207"/>
      <c r="AA122" s="207"/>
      <c r="AB122" s="207"/>
      <c r="AC122" s="207"/>
      <c r="AD122" s="207"/>
      <c r="AE122" s="207"/>
      <c r="AF122" s="207"/>
      <c r="AG122" s="207"/>
      <c r="AH122" s="207"/>
      <c r="AI122" s="207"/>
      <c r="AJ122" s="207"/>
      <c r="AK122" s="207"/>
      <c r="AL122" s="207"/>
      <c r="AM122" s="207"/>
      <c r="AN122" s="207"/>
      <c r="AO122" s="207"/>
      <c r="AP122" s="207"/>
      <c r="AQ122" s="207"/>
      <c r="AR122" s="207"/>
      <c r="AS122" s="207"/>
      <c r="AT122" s="207"/>
      <c r="AU122" s="207"/>
      <c r="AV122" s="207"/>
      <c r="AW122" s="207"/>
      <c r="AX122" s="207"/>
      <c r="AY122" s="207"/>
      <c r="AZ122" s="207"/>
      <c r="BA122" s="207"/>
      <c r="BB122" s="207"/>
      <c r="BC122" s="207"/>
      <c r="BD122" s="207"/>
      <c r="BE122" s="207"/>
    </row>
    <row r="123" spans="1:57" ht="11.25">
      <c r="A123" s="295"/>
      <c r="B123" s="295"/>
      <c r="C123" s="302"/>
      <c r="D123" s="302"/>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07"/>
      <c r="AL123" s="207"/>
      <c r="AM123" s="207"/>
      <c r="AN123" s="207"/>
      <c r="AO123" s="207"/>
      <c r="AP123" s="207"/>
      <c r="AQ123" s="207"/>
      <c r="AR123" s="207"/>
      <c r="AS123" s="207"/>
      <c r="AT123" s="207"/>
      <c r="AU123" s="207"/>
      <c r="AV123" s="207"/>
      <c r="AW123" s="207"/>
      <c r="AX123" s="207"/>
      <c r="AY123" s="207"/>
      <c r="AZ123" s="207"/>
      <c r="BA123" s="207"/>
      <c r="BB123" s="207"/>
      <c r="BC123" s="207"/>
      <c r="BD123" s="207"/>
      <c r="BE123" s="207"/>
    </row>
    <row r="124" spans="1:57" ht="11.25">
      <c r="A124" s="295"/>
      <c r="B124" s="295"/>
      <c r="C124" s="302"/>
      <c r="D124" s="302"/>
      <c r="E124" s="207"/>
      <c r="F124" s="207"/>
      <c r="G124" s="207"/>
      <c r="H124" s="207"/>
      <c r="I124" s="207"/>
      <c r="J124" s="207"/>
      <c r="K124" s="207"/>
      <c r="L124" s="207"/>
      <c r="M124" s="207"/>
      <c r="N124" s="207"/>
      <c r="O124" s="207"/>
      <c r="P124" s="207"/>
      <c r="Q124" s="207"/>
      <c r="R124" s="207"/>
      <c r="S124" s="207"/>
      <c r="T124" s="207"/>
      <c r="U124" s="207"/>
      <c r="V124" s="207"/>
      <c r="W124" s="207"/>
      <c r="X124" s="207"/>
      <c r="Y124" s="207"/>
      <c r="Z124" s="207"/>
      <c r="AA124" s="207"/>
      <c r="AB124" s="207"/>
      <c r="AC124" s="207"/>
      <c r="AD124" s="207"/>
      <c r="AE124" s="207"/>
      <c r="AF124" s="207"/>
      <c r="AG124" s="207"/>
      <c r="AH124" s="207"/>
      <c r="AI124" s="207"/>
      <c r="AJ124" s="207"/>
      <c r="AK124" s="207"/>
      <c r="AL124" s="207"/>
      <c r="AM124" s="207"/>
      <c r="AN124" s="207"/>
      <c r="AO124" s="207"/>
      <c r="AP124" s="207"/>
      <c r="AQ124" s="207"/>
      <c r="AR124" s="207"/>
      <c r="AS124" s="207"/>
      <c r="AT124" s="207"/>
      <c r="AU124" s="207"/>
      <c r="AV124" s="207"/>
      <c r="AW124" s="207"/>
      <c r="AX124" s="207"/>
      <c r="AY124" s="207"/>
      <c r="AZ124" s="207"/>
      <c r="BA124" s="207"/>
      <c r="BB124" s="207"/>
      <c r="BC124" s="207"/>
      <c r="BD124" s="207"/>
      <c r="BE124" s="207"/>
    </row>
    <row r="125" spans="1:57" ht="11.25">
      <c r="A125" s="295"/>
      <c r="B125" s="295"/>
      <c r="C125" s="302"/>
      <c r="D125" s="302"/>
      <c r="E125" s="207"/>
      <c r="F125" s="207"/>
      <c r="G125" s="207"/>
      <c r="H125" s="207"/>
      <c r="I125" s="207"/>
      <c r="J125" s="207"/>
      <c r="K125" s="207"/>
      <c r="L125" s="207"/>
      <c r="M125" s="207"/>
      <c r="N125" s="207"/>
      <c r="O125" s="207"/>
      <c r="P125" s="207"/>
      <c r="Q125" s="207"/>
      <c r="R125" s="207"/>
      <c r="S125" s="207"/>
      <c r="T125" s="207"/>
      <c r="U125" s="207"/>
      <c r="V125" s="207"/>
      <c r="W125" s="207"/>
      <c r="X125" s="207"/>
      <c r="Y125" s="207"/>
      <c r="Z125" s="207"/>
      <c r="AA125" s="207"/>
      <c r="AB125" s="207"/>
      <c r="AC125" s="207"/>
      <c r="AD125" s="207"/>
      <c r="AE125" s="207"/>
      <c r="AF125" s="207"/>
      <c r="AG125" s="207"/>
      <c r="AH125" s="207"/>
      <c r="AI125" s="207"/>
      <c r="AJ125" s="207"/>
      <c r="AK125" s="207"/>
      <c r="AL125" s="207"/>
      <c r="AM125" s="207"/>
      <c r="AN125" s="207"/>
      <c r="AO125" s="207"/>
      <c r="AP125" s="207"/>
      <c r="AQ125" s="207"/>
      <c r="AR125" s="207"/>
      <c r="AS125" s="207"/>
      <c r="AT125" s="207"/>
      <c r="AU125" s="207"/>
      <c r="AV125" s="207"/>
      <c r="AW125" s="207"/>
      <c r="AX125" s="207"/>
      <c r="AY125" s="207"/>
      <c r="AZ125" s="207"/>
      <c r="BA125" s="207"/>
      <c r="BB125" s="207"/>
      <c r="BC125" s="207"/>
      <c r="BD125" s="207"/>
      <c r="BE125" s="207"/>
    </row>
    <row r="126" spans="1:57" ht="11.25">
      <c r="A126" s="295"/>
      <c r="B126" s="295"/>
      <c r="C126" s="302"/>
      <c r="D126" s="302"/>
      <c r="E126" s="207"/>
      <c r="F126" s="207"/>
      <c r="G126" s="207"/>
      <c r="H126" s="207"/>
      <c r="I126" s="207"/>
      <c r="J126" s="207"/>
      <c r="K126" s="207"/>
      <c r="L126" s="207"/>
      <c r="M126" s="207"/>
      <c r="N126" s="207"/>
      <c r="O126" s="207"/>
      <c r="P126" s="207"/>
      <c r="Q126" s="207"/>
      <c r="R126" s="207"/>
      <c r="S126" s="207"/>
      <c r="T126" s="207"/>
      <c r="U126" s="207"/>
      <c r="V126" s="207"/>
      <c r="W126" s="207"/>
      <c r="X126" s="207"/>
      <c r="Y126" s="207"/>
      <c r="Z126" s="207"/>
      <c r="AA126" s="207"/>
      <c r="AB126" s="207"/>
      <c r="AC126" s="207"/>
      <c r="AD126" s="207"/>
      <c r="AE126" s="207"/>
      <c r="AF126" s="207"/>
      <c r="AG126" s="207"/>
      <c r="AH126" s="207"/>
      <c r="AI126" s="207"/>
      <c r="AJ126" s="207"/>
      <c r="AK126" s="207"/>
      <c r="AL126" s="207"/>
      <c r="AM126" s="207"/>
      <c r="AN126" s="207"/>
      <c r="AO126" s="207"/>
      <c r="AP126" s="207"/>
      <c r="AQ126" s="207"/>
      <c r="AR126" s="207"/>
      <c r="AS126" s="207"/>
      <c r="AT126" s="207"/>
      <c r="AU126" s="207"/>
      <c r="AV126" s="207"/>
      <c r="AW126" s="207"/>
      <c r="AX126" s="207"/>
      <c r="AY126" s="207"/>
      <c r="AZ126" s="207"/>
      <c r="BA126" s="207"/>
      <c r="BB126" s="207"/>
      <c r="BC126" s="207"/>
      <c r="BD126" s="207"/>
      <c r="BE126" s="207"/>
    </row>
    <row r="127" spans="1:57" ht="11.25">
      <c r="A127" s="295"/>
      <c r="B127" s="295"/>
      <c r="C127" s="302"/>
      <c r="D127" s="302"/>
      <c r="E127" s="207"/>
      <c r="F127" s="207"/>
      <c r="G127" s="207"/>
      <c r="H127" s="207"/>
      <c r="I127" s="207"/>
      <c r="J127" s="207"/>
      <c r="K127" s="207"/>
      <c r="L127" s="207"/>
      <c r="M127" s="207"/>
      <c r="N127" s="207"/>
      <c r="O127" s="207"/>
      <c r="P127" s="207"/>
      <c r="Q127" s="207"/>
      <c r="R127" s="207"/>
      <c r="S127" s="207"/>
      <c r="T127" s="207"/>
      <c r="U127" s="207"/>
      <c r="V127" s="207"/>
      <c r="W127" s="207"/>
      <c r="X127" s="207"/>
      <c r="Y127" s="207"/>
      <c r="Z127" s="207"/>
      <c r="AA127" s="207"/>
      <c r="AB127" s="207"/>
      <c r="AC127" s="207"/>
      <c r="AD127" s="207"/>
      <c r="AE127" s="207"/>
      <c r="AF127" s="207"/>
      <c r="AG127" s="207"/>
      <c r="AH127" s="207"/>
      <c r="AI127" s="207"/>
      <c r="AJ127" s="207"/>
      <c r="AK127" s="207"/>
      <c r="AL127" s="207"/>
      <c r="AM127" s="207"/>
      <c r="AN127" s="207"/>
      <c r="AO127" s="207"/>
      <c r="AP127" s="207"/>
      <c r="AQ127" s="207"/>
      <c r="AR127" s="207"/>
      <c r="AS127" s="207"/>
      <c r="AT127" s="207"/>
      <c r="AU127" s="207"/>
      <c r="AV127" s="207"/>
      <c r="AW127" s="207"/>
      <c r="AX127" s="207"/>
      <c r="AY127" s="207"/>
      <c r="AZ127" s="207"/>
      <c r="BA127" s="207"/>
      <c r="BB127" s="207"/>
      <c r="BC127" s="207"/>
      <c r="BD127" s="207"/>
      <c r="BE127" s="207"/>
    </row>
    <row r="128" spans="1:57" ht="11.25">
      <c r="A128" s="295"/>
      <c r="B128" s="295"/>
      <c r="C128" s="302"/>
      <c r="D128" s="302"/>
      <c r="E128" s="207"/>
      <c r="F128" s="207"/>
      <c r="G128" s="207"/>
      <c r="H128" s="207"/>
      <c r="I128" s="207"/>
      <c r="J128" s="207"/>
      <c r="K128" s="207"/>
      <c r="L128" s="207"/>
      <c r="M128" s="207"/>
      <c r="N128" s="207"/>
      <c r="O128" s="207"/>
      <c r="P128" s="207"/>
      <c r="Q128" s="207"/>
      <c r="R128" s="207"/>
      <c r="S128" s="207"/>
      <c r="T128" s="207"/>
      <c r="U128" s="207"/>
      <c r="V128" s="207"/>
      <c r="W128" s="207"/>
      <c r="X128" s="207"/>
      <c r="Y128" s="207"/>
      <c r="Z128" s="207"/>
      <c r="AA128" s="207"/>
      <c r="AB128" s="207"/>
      <c r="AC128" s="207"/>
      <c r="AD128" s="207"/>
      <c r="AE128" s="207"/>
      <c r="AF128" s="207"/>
      <c r="AG128" s="207"/>
      <c r="AH128" s="207"/>
      <c r="AI128" s="207"/>
      <c r="AJ128" s="207"/>
      <c r="AK128" s="207"/>
      <c r="AL128" s="207"/>
      <c r="AM128" s="207"/>
      <c r="AN128" s="207"/>
      <c r="AO128" s="207"/>
      <c r="AP128" s="207"/>
      <c r="AQ128" s="207"/>
      <c r="AR128" s="207"/>
      <c r="AS128" s="207"/>
      <c r="AT128" s="207"/>
      <c r="AU128" s="207"/>
      <c r="AV128" s="207"/>
      <c r="AW128" s="207"/>
      <c r="AX128" s="207"/>
      <c r="AY128" s="207"/>
      <c r="AZ128" s="207"/>
      <c r="BA128" s="207"/>
      <c r="BB128" s="207"/>
      <c r="BC128" s="207"/>
      <c r="BD128" s="207"/>
      <c r="BE128" s="207"/>
    </row>
    <row r="129" spans="1:57" ht="11.25">
      <c r="A129" s="295"/>
      <c r="B129" s="295"/>
      <c r="C129" s="302"/>
      <c r="D129" s="302"/>
      <c r="E129" s="207"/>
      <c r="F129" s="207"/>
      <c r="G129" s="207"/>
      <c r="H129" s="207"/>
      <c r="I129" s="207"/>
      <c r="J129" s="207"/>
      <c r="K129" s="207"/>
      <c r="L129" s="207"/>
      <c r="M129" s="207"/>
      <c r="N129" s="207"/>
      <c r="O129" s="207"/>
      <c r="P129" s="207"/>
      <c r="Q129" s="207"/>
      <c r="R129" s="207"/>
      <c r="S129" s="207"/>
      <c r="T129" s="207"/>
      <c r="U129" s="207"/>
      <c r="V129" s="207"/>
      <c r="W129" s="207"/>
      <c r="X129" s="207"/>
      <c r="Y129" s="207"/>
      <c r="Z129" s="207"/>
      <c r="AA129" s="207"/>
      <c r="AB129" s="207"/>
      <c r="AC129" s="207"/>
      <c r="AD129" s="207"/>
      <c r="AE129" s="207"/>
      <c r="AF129" s="207"/>
      <c r="AG129" s="207"/>
      <c r="AH129" s="207"/>
      <c r="AI129" s="207"/>
      <c r="AJ129" s="207"/>
      <c r="AK129" s="207"/>
      <c r="AL129" s="207"/>
      <c r="AM129" s="207"/>
      <c r="AN129" s="207"/>
      <c r="AO129" s="207"/>
      <c r="AP129" s="207"/>
      <c r="AQ129" s="207"/>
      <c r="AR129" s="207"/>
      <c r="AS129" s="207"/>
      <c r="AT129" s="207"/>
      <c r="AU129" s="207"/>
      <c r="AV129" s="207"/>
      <c r="AW129" s="207"/>
      <c r="AX129" s="207"/>
      <c r="AY129" s="207"/>
      <c r="AZ129" s="207"/>
      <c r="BA129" s="207"/>
      <c r="BB129" s="207"/>
      <c r="BC129" s="207"/>
      <c r="BD129" s="207"/>
      <c r="BE129" s="207"/>
    </row>
    <row r="130" spans="1:57" ht="11.25">
      <c r="A130" s="295"/>
      <c r="B130" s="295"/>
      <c r="C130" s="302"/>
      <c r="D130" s="302"/>
      <c r="E130" s="207"/>
      <c r="F130" s="207"/>
      <c r="G130" s="207"/>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7"/>
      <c r="AY130" s="207"/>
      <c r="AZ130" s="207"/>
      <c r="BA130" s="207"/>
      <c r="BB130" s="207"/>
      <c r="BC130" s="207"/>
      <c r="BD130" s="207"/>
      <c r="BE130" s="207"/>
    </row>
    <row r="131" spans="1:57" ht="11.25">
      <c r="A131" s="295"/>
      <c r="B131" s="295"/>
      <c r="C131" s="302"/>
      <c r="D131" s="302"/>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7"/>
      <c r="BC131" s="207"/>
      <c r="BD131" s="207"/>
      <c r="BE131" s="207"/>
    </row>
    <row r="132" spans="1:57" ht="11.25">
      <c r="A132" s="295"/>
      <c r="B132" s="295"/>
      <c r="C132" s="302"/>
      <c r="D132" s="302"/>
      <c r="E132" s="207"/>
      <c r="F132" s="207"/>
      <c r="G132" s="207"/>
      <c r="H132" s="207"/>
      <c r="I132" s="207"/>
      <c r="J132" s="207"/>
      <c r="K132" s="207"/>
      <c r="L132" s="207"/>
      <c r="M132" s="207"/>
      <c r="N132" s="207"/>
      <c r="O132" s="207"/>
      <c r="P132" s="207"/>
      <c r="Q132" s="207"/>
      <c r="R132" s="207"/>
      <c r="S132" s="207"/>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7"/>
      <c r="AR132" s="207"/>
      <c r="AS132" s="207"/>
      <c r="AT132" s="207"/>
      <c r="AU132" s="207"/>
      <c r="AV132" s="207"/>
      <c r="AW132" s="207"/>
      <c r="AX132" s="207"/>
      <c r="AY132" s="207"/>
      <c r="AZ132" s="207"/>
      <c r="BA132" s="207"/>
      <c r="BB132" s="207"/>
      <c r="BC132" s="207"/>
      <c r="BD132" s="207"/>
      <c r="BE132" s="207"/>
    </row>
    <row r="133" spans="1:57" ht="11.25">
      <c r="A133" s="295"/>
      <c r="B133" s="295"/>
      <c r="C133" s="302"/>
      <c r="D133" s="302"/>
      <c r="E133" s="207"/>
      <c r="F133" s="207"/>
      <c r="G133" s="207"/>
      <c r="H133" s="207"/>
      <c r="I133" s="207"/>
      <c r="J133" s="207"/>
      <c r="K133" s="207"/>
      <c r="L133" s="207"/>
      <c r="M133" s="207"/>
      <c r="N133" s="207"/>
      <c r="O133" s="207"/>
      <c r="P133" s="207"/>
      <c r="Q133" s="207"/>
      <c r="R133" s="207"/>
      <c r="S133" s="207"/>
      <c r="T133" s="207"/>
      <c r="U133" s="207"/>
      <c r="V133" s="207"/>
      <c r="W133" s="207"/>
      <c r="X133" s="207"/>
      <c r="Y133" s="207"/>
      <c r="Z133" s="207"/>
      <c r="AA133" s="207"/>
      <c r="AB133" s="207"/>
      <c r="AC133" s="207"/>
      <c r="AD133" s="207"/>
      <c r="AE133" s="207"/>
      <c r="AF133" s="207"/>
      <c r="AG133" s="207"/>
      <c r="AH133" s="207"/>
      <c r="AI133" s="207"/>
      <c r="AJ133" s="207"/>
      <c r="AK133" s="207"/>
      <c r="AL133" s="207"/>
      <c r="AM133" s="207"/>
      <c r="AN133" s="207"/>
      <c r="AO133" s="207"/>
      <c r="AP133" s="207"/>
      <c r="AQ133" s="207"/>
      <c r="AR133" s="207"/>
      <c r="AS133" s="207"/>
      <c r="AT133" s="207"/>
      <c r="AU133" s="207"/>
      <c r="AV133" s="207"/>
      <c r="AW133" s="207"/>
      <c r="AX133" s="207"/>
      <c r="AY133" s="207"/>
      <c r="AZ133" s="207"/>
      <c r="BA133" s="207"/>
      <c r="BB133" s="207"/>
      <c r="BC133" s="207"/>
      <c r="BD133" s="207"/>
      <c r="BE133" s="207"/>
    </row>
    <row r="134" spans="1:57" ht="11.25">
      <c r="A134" s="295"/>
      <c r="B134" s="295"/>
      <c r="C134" s="302"/>
      <c r="D134" s="302"/>
      <c r="E134" s="207"/>
      <c r="F134" s="207"/>
      <c r="G134" s="207"/>
      <c r="H134" s="207"/>
      <c r="I134" s="207"/>
      <c r="J134" s="207"/>
      <c r="K134" s="207"/>
      <c r="L134" s="207"/>
      <c r="M134" s="207"/>
      <c r="N134" s="207"/>
      <c r="O134" s="207"/>
      <c r="P134" s="207"/>
      <c r="Q134" s="207"/>
      <c r="R134" s="207"/>
      <c r="S134" s="207"/>
      <c r="T134" s="207"/>
      <c r="U134" s="207"/>
      <c r="V134" s="207"/>
      <c r="W134" s="207"/>
      <c r="X134" s="207"/>
      <c r="Y134" s="207"/>
      <c r="Z134" s="207"/>
      <c r="AA134" s="207"/>
      <c r="AB134" s="207"/>
      <c r="AC134" s="207"/>
      <c r="AD134" s="207"/>
      <c r="AE134" s="207"/>
      <c r="AF134" s="207"/>
      <c r="AG134" s="207"/>
      <c r="AH134" s="207"/>
      <c r="AI134" s="207"/>
      <c r="AJ134" s="207"/>
      <c r="AK134" s="207"/>
      <c r="AL134" s="207"/>
      <c r="AM134" s="207"/>
      <c r="AN134" s="207"/>
      <c r="AO134" s="207"/>
      <c r="AP134" s="207"/>
      <c r="AQ134" s="207"/>
      <c r="AR134" s="207"/>
      <c r="AS134" s="207"/>
      <c r="AT134" s="207"/>
      <c r="AU134" s="207"/>
      <c r="AV134" s="207"/>
      <c r="AW134" s="207"/>
      <c r="AX134" s="207"/>
      <c r="AY134" s="207"/>
      <c r="AZ134" s="207"/>
      <c r="BA134" s="207"/>
      <c r="BB134" s="207"/>
      <c r="BC134" s="207"/>
      <c r="BD134" s="207"/>
      <c r="BE134" s="207"/>
    </row>
    <row r="135" spans="1:57" ht="11.25">
      <c r="A135" s="295"/>
      <c r="B135" s="295"/>
      <c r="C135" s="302"/>
      <c r="D135" s="302"/>
      <c r="E135" s="207"/>
      <c r="F135" s="207"/>
      <c r="G135" s="207"/>
      <c r="H135" s="207"/>
      <c r="I135" s="207"/>
      <c r="J135" s="207"/>
      <c r="K135" s="207"/>
      <c r="L135" s="207"/>
      <c r="M135" s="207"/>
      <c r="N135" s="207"/>
      <c r="O135" s="207"/>
      <c r="P135" s="207"/>
      <c r="Q135" s="207"/>
      <c r="R135" s="207"/>
      <c r="S135" s="207"/>
      <c r="T135" s="207"/>
      <c r="U135" s="207"/>
      <c r="V135" s="207"/>
      <c r="W135" s="207"/>
      <c r="X135" s="207"/>
      <c r="Y135" s="207"/>
      <c r="Z135" s="207"/>
      <c r="AA135" s="207"/>
      <c r="AB135" s="207"/>
      <c r="AC135" s="207"/>
      <c r="AD135" s="207"/>
      <c r="AE135" s="207"/>
      <c r="AF135" s="207"/>
      <c r="AG135" s="207"/>
      <c r="AH135" s="207"/>
      <c r="AI135" s="207"/>
      <c r="AJ135" s="207"/>
      <c r="AK135" s="207"/>
      <c r="AL135" s="207"/>
      <c r="AM135" s="207"/>
      <c r="AN135" s="207"/>
      <c r="AO135" s="207"/>
      <c r="AP135" s="207"/>
      <c r="AQ135" s="207"/>
      <c r="AR135" s="207"/>
      <c r="AS135" s="207"/>
      <c r="AT135" s="207"/>
      <c r="AU135" s="207"/>
      <c r="AV135" s="207"/>
      <c r="AW135" s="207"/>
      <c r="AX135" s="207"/>
      <c r="AY135" s="207"/>
      <c r="AZ135" s="207"/>
      <c r="BA135" s="207"/>
      <c r="BB135" s="207"/>
      <c r="BC135" s="207"/>
      <c r="BD135" s="207"/>
      <c r="BE135" s="207"/>
    </row>
    <row r="136" spans="1:57" ht="11.25">
      <c r="A136" s="295"/>
      <c r="B136" s="295"/>
      <c r="C136" s="302"/>
      <c r="D136" s="302"/>
      <c r="E136" s="207"/>
      <c r="F136" s="207"/>
      <c r="G136" s="207"/>
      <c r="H136" s="207"/>
      <c r="I136" s="207"/>
      <c r="J136" s="207"/>
      <c r="K136" s="207"/>
      <c r="L136" s="207"/>
      <c r="M136" s="207"/>
      <c r="N136" s="207"/>
      <c r="O136" s="207"/>
      <c r="P136" s="207"/>
      <c r="Q136" s="207"/>
      <c r="R136" s="207"/>
      <c r="S136" s="207"/>
      <c r="T136" s="207"/>
      <c r="U136" s="207"/>
      <c r="V136" s="207"/>
      <c r="W136" s="207"/>
      <c r="X136" s="207"/>
      <c r="Y136" s="207"/>
      <c r="Z136" s="207"/>
      <c r="AA136" s="207"/>
      <c r="AB136" s="207"/>
      <c r="AC136" s="207"/>
      <c r="AD136" s="207"/>
      <c r="AE136" s="207"/>
      <c r="AF136" s="207"/>
      <c r="AG136" s="207"/>
      <c r="AH136" s="207"/>
      <c r="AI136" s="207"/>
      <c r="AJ136" s="207"/>
      <c r="AK136" s="207"/>
      <c r="AL136" s="207"/>
      <c r="AM136" s="207"/>
      <c r="AN136" s="207"/>
      <c r="AO136" s="207"/>
      <c r="AP136" s="207"/>
      <c r="AQ136" s="207"/>
      <c r="AR136" s="207"/>
      <c r="AS136" s="207"/>
      <c r="AT136" s="207"/>
      <c r="AU136" s="207"/>
      <c r="AV136" s="207"/>
      <c r="AW136" s="207"/>
      <c r="AX136" s="207"/>
      <c r="AY136" s="207"/>
      <c r="AZ136" s="207"/>
      <c r="BA136" s="207"/>
      <c r="BB136" s="207"/>
      <c r="BC136" s="207"/>
      <c r="BD136" s="207"/>
      <c r="BE136" s="207"/>
    </row>
    <row r="137" spans="1:57" ht="11.25">
      <c r="A137" s="295"/>
      <c r="B137" s="295"/>
      <c r="C137" s="302"/>
      <c r="D137" s="302"/>
      <c r="E137" s="207"/>
      <c r="F137" s="207"/>
      <c r="G137" s="207"/>
      <c r="H137" s="207"/>
      <c r="I137" s="207"/>
      <c r="J137" s="207"/>
      <c r="K137" s="207"/>
      <c r="L137" s="207"/>
      <c r="M137" s="207"/>
      <c r="N137" s="207"/>
      <c r="O137" s="207"/>
      <c r="P137" s="207"/>
      <c r="Q137" s="207"/>
      <c r="R137" s="207"/>
      <c r="S137" s="207"/>
      <c r="T137" s="207"/>
      <c r="U137" s="207"/>
      <c r="V137" s="207"/>
      <c r="W137" s="207"/>
      <c r="X137" s="207"/>
      <c r="Y137" s="207"/>
      <c r="Z137" s="207"/>
      <c r="AA137" s="207"/>
      <c r="AB137" s="207"/>
      <c r="AC137" s="207"/>
      <c r="AD137" s="207"/>
      <c r="AE137" s="207"/>
      <c r="AF137" s="207"/>
      <c r="AG137" s="207"/>
      <c r="AH137" s="207"/>
      <c r="AI137" s="207"/>
      <c r="AJ137" s="207"/>
      <c r="AK137" s="207"/>
      <c r="AL137" s="207"/>
      <c r="AM137" s="207"/>
      <c r="AN137" s="207"/>
      <c r="AO137" s="207"/>
      <c r="AP137" s="207"/>
      <c r="AQ137" s="207"/>
      <c r="AR137" s="207"/>
      <c r="AS137" s="207"/>
      <c r="AT137" s="207"/>
      <c r="AU137" s="207"/>
      <c r="AV137" s="207"/>
      <c r="AW137" s="207"/>
      <c r="AX137" s="207"/>
      <c r="AY137" s="207"/>
      <c r="AZ137" s="207"/>
      <c r="BA137" s="207"/>
      <c r="BB137" s="207"/>
      <c r="BC137" s="207"/>
      <c r="BD137" s="207"/>
      <c r="BE137" s="207"/>
    </row>
    <row r="138" spans="1:57" ht="11.25">
      <c r="A138" s="295"/>
      <c r="B138" s="295"/>
      <c r="C138" s="302"/>
      <c r="D138" s="302"/>
      <c r="E138" s="207"/>
      <c r="F138" s="207"/>
      <c r="G138" s="207"/>
      <c r="H138" s="207"/>
      <c r="I138" s="207"/>
      <c r="J138" s="207"/>
      <c r="K138" s="207"/>
      <c r="L138" s="207"/>
      <c r="M138" s="207"/>
      <c r="N138" s="207"/>
      <c r="O138" s="207"/>
      <c r="P138" s="207"/>
      <c r="Q138" s="207"/>
      <c r="R138" s="207"/>
      <c r="S138" s="207"/>
      <c r="T138" s="207"/>
      <c r="U138" s="207"/>
      <c r="V138" s="207"/>
      <c r="W138" s="207"/>
      <c r="X138" s="207"/>
      <c r="Y138" s="207"/>
      <c r="Z138" s="207"/>
      <c r="AA138" s="207"/>
      <c r="AB138" s="207"/>
      <c r="AC138" s="207"/>
      <c r="AD138" s="207"/>
      <c r="AE138" s="207"/>
      <c r="AF138" s="207"/>
      <c r="AG138" s="207"/>
      <c r="AH138" s="207"/>
      <c r="AI138" s="207"/>
      <c r="AJ138" s="207"/>
      <c r="AK138" s="207"/>
      <c r="AL138" s="207"/>
      <c r="AM138" s="207"/>
      <c r="AN138" s="207"/>
      <c r="AO138" s="207"/>
      <c r="AP138" s="207"/>
      <c r="AQ138" s="207"/>
      <c r="AR138" s="207"/>
      <c r="AS138" s="207"/>
      <c r="AT138" s="207"/>
      <c r="AU138" s="207"/>
      <c r="AV138" s="207"/>
      <c r="AW138" s="207"/>
      <c r="AX138" s="207"/>
      <c r="AY138" s="207"/>
      <c r="AZ138" s="207"/>
      <c r="BA138" s="207"/>
      <c r="BB138" s="207"/>
      <c r="BC138" s="207"/>
      <c r="BD138" s="207"/>
      <c r="BE138" s="207"/>
    </row>
    <row r="139" spans="1:57" ht="11.25">
      <c r="A139" s="295"/>
      <c r="B139" s="295"/>
      <c r="C139" s="302"/>
      <c r="D139" s="302"/>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207"/>
      <c r="AK139" s="207"/>
      <c r="AL139" s="207"/>
      <c r="AM139" s="207"/>
      <c r="AN139" s="207"/>
      <c r="AO139" s="207"/>
      <c r="AP139" s="207"/>
      <c r="AQ139" s="207"/>
      <c r="AR139" s="207"/>
      <c r="AS139" s="207"/>
      <c r="AT139" s="207"/>
      <c r="AU139" s="207"/>
      <c r="AV139" s="207"/>
      <c r="AW139" s="207"/>
      <c r="AX139" s="207"/>
      <c r="AY139" s="207"/>
      <c r="AZ139" s="207"/>
      <c r="BA139" s="207"/>
      <c r="BB139" s="207"/>
      <c r="BC139" s="207"/>
      <c r="BD139" s="207"/>
      <c r="BE139" s="207"/>
    </row>
    <row r="140" spans="1:57" ht="11.25">
      <c r="A140" s="295"/>
      <c r="B140" s="295"/>
      <c r="C140" s="302"/>
      <c r="D140" s="302"/>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c r="AO140" s="207"/>
      <c r="AP140" s="207"/>
      <c r="AQ140" s="207"/>
      <c r="AR140" s="207"/>
      <c r="AS140" s="207"/>
      <c r="AT140" s="207"/>
      <c r="AU140" s="207"/>
      <c r="AV140" s="207"/>
      <c r="AW140" s="207"/>
      <c r="AX140" s="207"/>
      <c r="AY140" s="207"/>
      <c r="AZ140" s="207"/>
      <c r="BA140" s="207"/>
      <c r="BB140" s="207"/>
      <c r="BC140" s="207"/>
      <c r="BD140" s="207"/>
      <c r="BE140" s="207"/>
    </row>
    <row r="141" spans="1:57" ht="11.25">
      <c r="A141" s="295"/>
      <c r="B141" s="295"/>
      <c r="C141" s="302"/>
      <c r="D141" s="302"/>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row>
    <row r="142" spans="1:57" ht="11.25">
      <c r="A142" s="295"/>
      <c r="B142" s="295"/>
      <c r="C142" s="302"/>
      <c r="D142" s="302"/>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07"/>
      <c r="AX142" s="207"/>
      <c r="AY142" s="207"/>
      <c r="AZ142" s="207"/>
      <c r="BA142" s="207"/>
      <c r="BB142" s="207"/>
      <c r="BC142" s="207"/>
      <c r="BD142" s="207"/>
      <c r="BE142" s="207"/>
    </row>
    <row r="143" spans="1:57" ht="11.25">
      <c r="A143" s="295"/>
      <c r="B143" s="295"/>
      <c r="C143" s="302"/>
      <c r="D143" s="302"/>
      <c r="E143" s="207"/>
      <c r="F143" s="207"/>
      <c r="G143" s="207"/>
      <c r="H143" s="207"/>
      <c r="I143" s="207"/>
      <c r="J143" s="207"/>
      <c r="K143" s="207"/>
      <c r="L143" s="207"/>
      <c r="M143" s="207"/>
      <c r="N143" s="207"/>
      <c r="O143" s="207"/>
      <c r="P143" s="207"/>
      <c r="Q143" s="207"/>
      <c r="R143" s="207"/>
      <c r="S143" s="207"/>
      <c r="T143" s="207"/>
      <c r="U143" s="207"/>
      <c r="V143" s="207"/>
      <c r="W143" s="207"/>
      <c r="X143" s="207"/>
      <c r="Y143" s="207"/>
      <c r="Z143" s="207"/>
      <c r="AA143" s="207"/>
      <c r="AB143" s="207"/>
      <c r="AC143" s="207"/>
      <c r="AD143" s="207"/>
      <c r="AE143" s="207"/>
      <c r="AF143" s="207"/>
      <c r="AG143" s="207"/>
      <c r="AH143" s="207"/>
      <c r="AI143" s="207"/>
      <c r="AJ143" s="207"/>
      <c r="AK143" s="207"/>
      <c r="AL143" s="207"/>
      <c r="AM143" s="207"/>
      <c r="AN143" s="207"/>
      <c r="AO143" s="207"/>
      <c r="AP143" s="207"/>
      <c r="AQ143" s="207"/>
      <c r="AR143" s="207"/>
      <c r="AS143" s="207"/>
      <c r="AT143" s="207"/>
      <c r="AU143" s="207"/>
      <c r="AV143" s="207"/>
      <c r="AW143" s="207"/>
      <c r="AX143" s="207"/>
      <c r="AY143" s="207"/>
      <c r="AZ143" s="207"/>
      <c r="BA143" s="207"/>
      <c r="BB143" s="207"/>
      <c r="BC143" s="207"/>
      <c r="BD143" s="207"/>
      <c r="BE143" s="207"/>
    </row>
    <row r="144" spans="1:57" ht="11.25">
      <c r="A144" s="295"/>
      <c r="B144" s="295"/>
      <c r="C144" s="302"/>
      <c r="D144" s="302"/>
      <c r="E144" s="207"/>
      <c r="F144" s="207"/>
      <c r="G144" s="207"/>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7"/>
      <c r="AY144" s="207"/>
      <c r="AZ144" s="207"/>
      <c r="BA144" s="207"/>
      <c r="BB144" s="207"/>
      <c r="BC144" s="207"/>
      <c r="BD144" s="207"/>
      <c r="BE144" s="207"/>
    </row>
    <row r="145" spans="1:57" ht="11.25">
      <c r="A145" s="295"/>
      <c r="B145" s="295"/>
      <c r="C145" s="302"/>
      <c r="D145" s="302"/>
      <c r="E145" s="207"/>
      <c r="F145" s="207"/>
      <c r="G145" s="207"/>
      <c r="H145" s="207"/>
      <c r="I145" s="207"/>
      <c r="J145" s="207"/>
      <c r="K145" s="207"/>
      <c r="L145" s="207"/>
      <c r="M145" s="207"/>
      <c r="N145" s="207"/>
      <c r="O145" s="207"/>
      <c r="P145" s="207"/>
      <c r="Q145" s="207"/>
      <c r="R145" s="207"/>
      <c r="S145" s="207"/>
      <c r="T145" s="207"/>
      <c r="U145" s="207"/>
      <c r="V145" s="207"/>
      <c r="W145" s="207"/>
      <c r="X145" s="207"/>
      <c r="Y145" s="207"/>
      <c r="Z145" s="207"/>
      <c r="AA145" s="207"/>
      <c r="AB145" s="207"/>
      <c r="AC145" s="207"/>
      <c r="AD145" s="207"/>
      <c r="AE145" s="207"/>
      <c r="AF145" s="207"/>
      <c r="AG145" s="207"/>
      <c r="AH145" s="207"/>
      <c r="AI145" s="207"/>
      <c r="AJ145" s="207"/>
      <c r="AK145" s="207"/>
      <c r="AL145" s="207"/>
      <c r="AM145" s="207"/>
      <c r="AN145" s="207"/>
      <c r="AO145" s="207"/>
      <c r="AP145" s="207"/>
      <c r="AQ145" s="207"/>
      <c r="AR145" s="207"/>
      <c r="AS145" s="207"/>
      <c r="AT145" s="207"/>
      <c r="AU145" s="207"/>
      <c r="AV145" s="207"/>
      <c r="AW145" s="207"/>
      <c r="AX145" s="207"/>
      <c r="AY145" s="207"/>
      <c r="AZ145" s="207"/>
      <c r="BA145" s="207"/>
      <c r="BB145" s="207"/>
      <c r="BC145" s="207"/>
      <c r="BD145" s="207"/>
      <c r="BE145" s="207"/>
    </row>
    <row r="146" spans="1:57" ht="11.25">
      <c r="A146" s="295"/>
      <c r="B146" s="295"/>
      <c r="C146" s="302"/>
      <c r="D146" s="302"/>
      <c r="E146" s="207"/>
      <c r="F146" s="207"/>
      <c r="G146" s="207"/>
      <c r="H146" s="207"/>
      <c r="I146" s="207"/>
      <c r="J146" s="207"/>
      <c r="K146" s="207"/>
      <c r="L146" s="207"/>
      <c r="M146" s="207"/>
      <c r="N146" s="207"/>
      <c r="O146" s="207"/>
      <c r="P146" s="207"/>
      <c r="Q146" s="207"/>
      <c r="R146" s="207"/>
      <c r="S146" s="207"/>
      <c r="T146" s="207"/>
      <c r="U146" s="207"/>
      <c r="V146" s="207"/>
      <c r="W146" s="207"/>
      <c r="X146" s="207"/>
      <c r="Y146" s="207"/>
      <c r="Z146" s="207"/>
      <c r="AA146" s="207"/>
      <c r="AB146" s="207"/>
      <c r="AC146" s="207"/>
      <c r="AD146" s="207"/>
      <c r="AE146" s="207"/>
      <c r="AF146" s="207"/>
      <c r="AG146" s="207"/>
      <c r="AH146" s="207"/>
      <c r="AI146" s="207"/>
      <c r="AJ146" s="207"/>
      <c r="AK146" s="207"/>
      <c r="AL146" s="207"/>
      <c r="AM146" s="207"/>
      <c r="AN146" s="207"/>
      <c r="AO146" s="207"/>
      <c r="AP146" s="207"/>
      <c r="AQ146" s="207"/>
      <c r="AR146" s="207"/>
      <c r="AS146" s="207"/>
      <c r="AT146" s="207"/>
      <c r="AU146" s="207"/>
      <c r="AV146" s="207"/>
      <c r="AW146" s="207"/>
      <c r="AX146" s="207"/>
      <c r="AY146" s="207"/>
      <c r="AZ146" s="207"/>
      <c r="BA146" s="207"/>
      <c r="BB146" s="207"/>
      <c r="BC146" s="207"/>
      <c r="BD146" s="207"/>
      <c r="BE146" s="207"/>
    </row>
    <row r="147" spans="1:57" ht="11.25">
      <c r="A147" s="295"/>
      <c r="B147" s="295"/>
      <c r="C147" s="302"/>
      <c r="D147" s="302"/>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7"/>
      <c r="BC147" s="207"/>
      <c r="BD147" s="207"/>
      <c r="BE147" s="207"/>
    </row>
    <row r="148" spans="1:57" ht="11.25">
      <c r="A148" s="295"/>
      <c r="B148" s="295"/>
      <c r="C148" s="302"/>
      <c r="D148" s="302"/>
      <c r="E148" s="207"/>
      <c r="F148" s="207"/>
      <c r="G148" s="207"/>
      <c r="H148" s="207"/>
      <c r="I148" s="207"/>
      <c r="J148" s="207"/>
      <c r="K148" s="207"/>
      <c r="L148" s="207"/>
      <c r="M148" s="207"/>
      <c r="N148" s="207"/>
      <c r="O148" s="207"/>
      <c r="P148" s="207"/>
      <c r="Q148" s="207"/>
      <c r="R148" s="207"/>
      <c r="S148" s="207"/>
      <c r="T148" s="207"/>
      <c r="U148" s="207"/>
      <c r="V148" s="207"/>
      <c r="W148" s="207"/>
      <c r="X148" s="207"/>
      <c r="Y148" s="207"/>
      <c r="Z148" s="207"/>
      <c r="AA148" s="207"/>
      <c r="AB148" s="207"/>
      <c r="AC148" s="207"/>
      <c r="AD148" s="207"/>
      <c r="AE148" s="207"/>
      <c r="AF148" s="207"/>
      <c r="AG148" s="207"/>
      <c r="AH148" s="207"/>
      <c r="AI148" s="207"/>
      <c r="AJ148" s="207"/>
      <c r="AK148" s="207"/>
      <c r="AL148" s="207"/>
      <c r="AM148" s="207"/>
      <c r="AN148" s="207"/>
      <c r="AO148" s="207"/>
      <c r="AP148" s="207"/>
      <c r="AQ148" s="207"/>
      <c r="AR148" s="207"/>
      <c r="AS148" s="207"/>
      <c r="AT148" s="207"/>
      <c r="AU148" s="207"/>
      <c r="AV148" s="207"/>
      <c r="AW148" s="207"/>
      <c r="AX148" s="207"/>
      <c r="AY148" s="207"/>
      <c r="AZ148" s="207"/>
      <c r="BA148" s="207"/>
      <c r="BB148" s="207"/>
      <c r="BC148" s="207"/>
      <c r="BD148" s="207"/>
      <c r="BE148" s="207"/>
    </row>
    <row r="149" spans="1:57" ht="11.25">
      <c r="A149" s="295"/>
      <c r="B149" s="295"/>
      <c r="C149" s="302"/>
      <c r="D149" s="302"/>
      <c r="E149" s="207"/>
      <c r="F149" s="207"/>
      <c r="G149" s="207"/>
      <c r="H149" s="207"/>
      <c r="I149" s="207"/>
      <c r="J149" s="207"/>
      <c r="K149" s="207"/>
      <c r="L149" s="207"/>
      <c r="M149" s="207"/>
      <c r="N149" s="207"/>
      <c r="O149" s="207"/>
      <c r="P149" s="207"/>
      <c r="Q149" s="207"/>
      <c r="R149" s="207"/>
      <c r="S149" s="207"/>
      <c r="T149" s="207"/>
      <c r="U149" s="207"/>
      <c r="V149" s="207"/>
      <c r="W149" s="207"/>
      <c r="X149" s="207"/>
      <c r="Y149" s="207"/>
      <c r="Z149" s="207"/>
      <c r="AA149" s="207"/>
      <c r="AB149" s="207"/>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07"/>
      <c r="AY149" s="207"/>
      <c r="AZ149" s="207"/>
      <c r="BA149" s="207"/>
      <c r="BB149" s="207"/>
      <c r="BC149" s="207"/>
      <c r="BD149" s="207"/>
      <c r="BE149" s="207"/>
    </row>
    <row r="150" spans="1:57" ht="11.25">
      <c r="A150" s="295"/>
      <c r="B150" s="295"/>
      <c r="C150" s="302"/>
      <c r="D150" s="302"/>
      <c r="E150" s="207"/>
      <c r="F150" s="207"/>
      <c r="G150" s="207"/>
      <c r="H150" s="207"/>
      <c r="I150" s="207"/>
      <c r="J150" s="207"/>
      <c r="K150" s="207"/>
      <c r="L150" s="207"/>
      <c r="M150" s="207"/>
      <c r="N150" s="207"/>
      <c r="O150" s="207"/>
      <c r="P150" s="207"/>
      <c r="Q150" s="207"/>
      <c r="R150" s="207"/>
      <c r="S150" s="207"/>
      <c r="T150" s="207"/>
      <c r="U150" s="207"/>
      <c r="V150" s="207"/>
      <c r="W150" s="207"/>
      <c r="X150" s="207"/>
      <c r="Y150" s="207"/>
      <c r="Z150" s="207"/>
      <c r="AA150" s="207"/>
      <c r="AB150" s="207"/>
      <c r="AC150" s="207"/>
      <c r="AD150" s="207"/>
      <c r="AE150" s="207"/>
      <c r="AF150" s="207"/>
      <c r="AG150" s="207"/>
      <c r="AH150" s="207"/>
      <c r="AI150" s="207"/>
      <c r="AJ150" s="207"/>
      <c r="AK150" s="207"/>
      <c r="AL150" s="207"/>
      <c r="AM150" s="207"/>
      <c r="AN150" s="207"/>
      <c r="AO150" s="207"/>
      <c r="AP150" s="207"/>
      <c r="AQ150" s="207"/>
      <c r="AR150" s="207"/>
      <c r="AS150" s="207"/>
      <c r="AT150" s="207"/>
      <c r="AU150" s="207"/>
      <c r="AV150" s="207"/>
      <c r="AW150" s="207"/>
      <c r="AX150" s="207"/>
      <c r="AY150" s="207"/>
      <c r="AZ150" s="207"/>
      <c r="BA150" s="207"/>
      <c r="BB150" s="207"/>
      <c r="BC150" s="207"/>
      <c r="BD150" s="207"/>
      <c r="BE150" s="207"/>
    </row>
    <row r="151" spans="1:57" ht="11.25">
      <c r="A151" s="295"/>
      <c r="B151" s="295"/>
      <c r="C151" s="302"/>
      <c r="D151" s="302"/>
      <c r="E151" s="207"/>
      <c r="F151" s="207"/>
      <c r="G151" s="207"/>
      <c r="H151" s="207"/>
      <c r="I151" s="207"/>
      <c r="J151" s="207"/>
      <c r="K151" s="207"/>
      <c r="L151" s="207"/>
      <c r="M151" s="207"/>
      <c r="N151" s="207"/>
      <c r="O151" s="207"/>
      <c r="P151" s="207"/>
      <c r="Q151" s="207"/>
      <c r="R151" s="207"/>
      <c r="S151" s="207"/>
      <c r="T151" s="207"/>
      <c r="U151" s="207"/>
      <c r="V151" s="207"/>
      <c r="W151" s="207"/>
      <c r="X151" s="207"/>
      <c r="Y151" s="207"/>
      <c r="Z151" s="207"/>
      <c r="AA151" s="207"/>
      <c r="AB151" s="207"/>
      <c r="AC151" s="207"/>
      <c r="AD151" s="207"/>
      <c r="AE151" s="207"/>
      <c r="AF151" s="207"/>
      <c r="AG151" s="207"/>
      <c r="AH151" s="207"/>
      <c r="AI151" s="207"/>
      <c r="AJ151" s="207"/>
      <c r="AK151" s="207"/>
      <c r="AL151" s="207"/>
      <c r="AM151" s="207"/>
      <c r="AN151" s="207"/>
      <c r="AO151" s="207"/>
      <c r="AP151" s="207"/>
      <c r="AQ151" s="207"/>
      <c r="AR151" s="207"/>
      <c r="AS151" s="207"/>
      <c r="AT151" s="207"/>
      <c r="AU151" s="207"/>
      <c r="AV151" s="207"/>
      <c r="AW151" s="207"/>
      <c r="AX151" s="207"/>
      <c r="AY151" s="207"/>
      <c r="AZ151" s="207"/>
      <c r="BA151" s="207"/>
      <c r="BB151" s="207"/>
      <c r="BC151" s="207"/>
      <c r="BD151" s="207"/>
      <c r="BE151" s="207"/>
    </row>
    <row r="152" spans="1:57" ht="11.25">
      <c r="A152" s="295"/>
      <c r="B152" s="295"/>
      <c r="C152" s="302"/>
      <c r="D152" s="302"/>
      <c r="E152" s="207"/>
      <c r="F152" s="207"/>
      <c r="G152" s="207"/>
      <c r="H152" s="207"/>
      <c r="I152" s="207"/>
      <c r="J152" s="207"/>
      <c r="K152" s="207"/>
      <c r="L152" s="207"/>
      <c r="M152" s="207"/>
      <c r="N152" s="207"/>
      <c r="O152" s="207"/>
      <c r="P152" s="207"/>
      <c r="Q152" s="207"/>
      <c r="R152" s="207"/>
      <c r="S152" s="207"/>
      <c r="T152" s="207"/>
      <c r="U152" s="207"/>
      <c r="V152" s="207"/>
      <c r="W152" s="207"/>
      <c r="X152" s="207"/>
      <c r="Y152" s="207"/>
      <c r="Z152" s="207"/>
      <c r="AA152" s="207"/>
      <c r="AB152" s="207"/>
      <c r="AC152" s="207"/>
      <c r="AD152" s="207"/>
      <c r="AE152" s="207"/>
      <c r="AF152" s="207"/>
      <c r="AG152" s="207"/>
      <c r="AH152" s="207"/>
      <c r="AI152" s="207"/>
      <c r="AJ152" s="207"/>
      <c r="AK152" s="207"/>
      <c r="AL152" s="207"/>
      <c r="AM152" s="207"/>
      <c r="AN152" s="207"/>
      <c r="AO152" s="207"/>
      <c r="AP152" s="207"/>
      <c r="AQ152" s="207"/>
      <c r="AR152" s="207"/>
      <c r="AS152" s="207"/>
      <c r="AT152" s="207"/>
      <c r="AU152" s="207"/>
      <c r="AV152" s="207"/>
      <c r="AW152" s="207"/>
      <c r="AX152" s="207"/>
      <c r="AY152" s="207"/>
      <c r="AZ152" s="207"/>
      <c r="BA152" s="207"/>
      <c r="BB152" s="207"/>
      <c r="BC152" s="207"/>
      <c r="BD152" s="207"/>
      <c r="BE152" s="207"/>
    </row>
    <row r="153" spans="1:57" ht="11.25">
      <c r="A153" s="295"/>
      <c r="B153" s="295"/>
      <c r="C153" s="302"/>
      <c r="D153" s="302"/>
      <c r="E153" s="207"/>
      <c r="F153" s="207"/>
      <c r="G153" s="207"/>
      <c r="H153" s="207"/>
      <c r="I153" s="207"/>
      <c r="J153" s="207"/>
      <c r="K153" s="207"/>
      <c r="L153" s="207"/>
      <c r="M153" s="207"/>
      <c r="N153" s="207"/>
      <c r="O153" s="207"/>
      <c r="P153" s="207"/>
      <c r="Q153" s="207"/>
      <c r="R153" s="207"/>
      <c r="S153" s="207"/>
      <c r="T153" s="207"/>
      <c r="U153" s="207"/>
      <c r="V153" s="207"/>
      <c r="W153" s="207"/>
      <c r="X153" s="207"/>
      <c r="Y153" s="207"/>
      <c r="Z153" s="207"/>
      <c r="AA153" s="207"/>
      <c r="AB153" s="207"/>
      <c r="AC153" s="207"/>
      <c r="AD153" s="207"/>
      <c r="AE153" s="207"/>
      <c r="AF153" s="207"/>
      <c r="AG153" s="207"/>
      <c r="AH153" s="207"/>
      <c r="AI153" s="207"/>
      <c r="AJ153" s="207"/>
      <c r="AK153" s="207"/>
      <c r="AL153" s="207"/>
      <c r="AM153" s="207"/>
      <c r="AN153" s="207"/>
      <c r="AO153" s="207"/>
      <c r="AP153" s="207"/>
      <c r="AQ153" s="207"/>
      <c r="AR153" s="207"/>
      <c r="AS153" s="207"/>
      <c r="AT153" s="207"/>
      <c r="AU153" s="207"/>
      <c r="AV153" s="207"/>
      <c r="AW153" s="207"/>
      <c r="AX153" s="207"/>
      <c r="AY153" s="207"/>
      <c r="AZ153" s="207"/>
      <c r="BA153" s="207"/>
      <c r="BB153" s="207"/>
      <c r="BC153" s="207"/>
      <c r="BD153" s="207"/>
      <c r="BE153" s="207"/>
    </row>
    <row r="154" spans="1:57" ht="11.25">
      <c r="A154" s="295"/>
      <c r="B154" s="295"/>
      <c r="C154" s="302"/>
      <c r="D154" s="302"/>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7"/>
      <c r="AJ154" s="207"/>
      <c r="AK154" s="207"/>
      <c r="AL154" s="207"/>
      <c r="AM154" s="207"/>
      <c r="AN154" s="207"/>
      <c r="AO154" s="207"/>
      <c r="AP154" s="207"/>
      <c r="AQ154" s="207"/>
      <c r="AR154" s="207"/>
      <c r="AS154" s="207"/>
      <c r="AT154" s="207"/>
      <c r="AU154" s="207"/>
      <c r="AV154" s="207"/>
      <c r="AW154" s="207"/>
      <c r="AX154" s="207"/>
      <c r="AY154" s="207"/>
      <c r="AZ154" s="207"/>
      <c r="BA154" s="207"/>
      <c r="BB154" s="207"/>
      <c r="BC154" s="207"/>
      <c r="BD154" s="207"/>
      <c r="BE154" s="207"/>
    </row>
    <row r="155" spans="1:57" ht="11.25">
      <c r="A155" s="295"/>
      <c r="B155" s="295"/>
      <c r="C155" s="302"/>
      <c r="D155" s="302"/>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7"/>
      <c r="AJ155" s="207"/>
      <c r="AK155" s="207"/>
      <c r="AL155" s="207"/>
      <c r="AM155" s="207"/>
      <c r="AN155" s="207"/>
      <c r="AO155" s="207"/>
      <c r="AP155" s="207"/>
      <c r="AQ155" s="207"/>
      <c r="AR155" s="207"/>
      <c r="AS155" s="207"/>
      <c r="AT155" s="207"/>
      <c r="AU155" s="207"/>
      <c r="AV155" s="207"/>
      <c r="AW155" s="207"/>
      <c r="AX155" s="207"/>
      <c r="AY155" s="207"/>
      <c r="AZ155" s="207"/>
      <c r="BA155" s="207"/>
      <c r="BB155" s="207"/>
      <c r="BC155" s="207"/>
      <c r="BD155" s="207"/>
      <c r="BE155" s="207"/>
    </row>
    <row r="156" spans="1:57" ht="11.25">
      <c r="A156" s="295"/>
      <c r="B156" s="295"/>
      <c r="C156" s="302"/>
      <c r="D156" s="302"/>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7"/>
      <c r="AJ156" s="207"/>
      <c r="AK156" s="207"/>
      <c r="AL156" s="207"/>
      <c r="AM156" s="207"/>
      <c r="AN156" s="207"/>
      <c r="AO156" s="207"/>
      <c r="AP156" s="207"/>
      <c r="AQ156" s="207"/>
      <c r="AR156" s="207"/>
      <c r="AS156" s="207"/>
      <c r="AT156" s="207"/>
      <c r="AU156" s="207"/>
      <c r="AV156" s="207"/>
      <c r="AW156" s="207"/>
      <c r="AX156" s="207"/>
      <c r="AY156" s="207"/>
      <c r="AZ156" s="207"/>
      <c r="BA156" s="207"/>
      <c r="BB156" s="207"/>
      <c r="BC156" s="207"/>
      <c r="BD156" s="207"/>
      <c r="BE156" s="207"/>
    </row>
    <row r="157" spans="1:57" ht="11.25">
      <c r="A157" s="295"/>
      <c r="B157" s="295"/>
      <c r="C157" s="302"/>
      <c r="D157" s="302"/>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7"/>
      <c r="AY157" s="207"/>
      <c r="AZ157" s="207"/>
      <c r="BA157" s="207"/>
      <c r="BB157" s="207"/>
      <c r="BC157" s="207"/>
      <c r="BD157" s="207"/>
      <c r="BE157" s="207"/>
    </row>
    <row r="158" spans="1:57" ht="11.25">
      <c r="A158" s="295"/>
      <c r="B158" s="295"/>
      <c r="C158" s="302"/>
      <c r="D158" s="302"/>
      <c r="E158" s="207"/>
      <c r="F158" s="207"/>
      <c r="G158" s="207"/>
      <c r="H158" s="207"/>
      <c r="I158" s="207"/>
      <c r="J158" s="207"/>
      <c r="K158" s="207"/>
      <c r="L158" s="207"/>
      <c r="M158" s="207"/>
      <c r="N158" s="207"/>
      <c r="O158" s="207"/>
      <c r="P158" s="207"/>
      <c r="Q158" s="207"/>
      <c r="R158" s="207"/>
      <c r="S158" s="207"/>
      <c r="T158" s="207"/>
      <c r="U158" s="207"/>
      <c r="V158" s="207"/>
      <c r="W158" s="207"/>
      <c r="X158" s="207"/>
      <c r="Y158" s="207"/>
      <c r="Z158" s="207"/>
      <c r="AA158" s="207"/>
      <c r="AB158" s="207"/>
      <c r="AC158" s="207"/>
      <c r="AD158" s="207"/>
      <c r="AE158" s="207"/>
      <c r="AF158" s="207"/>
      <c r="AG158" s="207"/>
      <c r="AH158" s="207"/>
      <c r="AI158" s="207"/>
      <c r="AJ158" s="207"/>
      <c r="AK158" s="207"/>
      <c r="AL158" s="207"/>
      <c r="AM158" s="207"/>
      <c r="AN158" s="207"/>
      <c r="AO158" s="207"/>
      <c r="AP158" s="207"/>
      <c r="AQ158" s="207"/>
      <c r="AR158" s="207"/>
      <c r="AS158" s="207"/>
      <c r="AT158" s="207"/>
      <c r="AU158" s="207"/>
      <c r="AV158" s="207"/>
      <c r="AW158" s="207"/>
      <c r="AX158" s="207"/>
      <c r="AY158" s="207"/>
      <c r="AZ158" s="207"/>
      <c r="BA158" s="207"/>
      <c r="BB158" s="207"/>
      <c r="BC158" s="207"/>
      <c r="BD158" s="207"/>
      <c r="BE158" s="207"/>
    </row>
    <row r="159" spans="1:57" ht="11.25">
      <c r="A159" s="295"/>
      <c r="B159" s="295"/>
      <c r="C159" s="302"/>
      <c r="D159" s="302"/>
      <c r="E159" s="207"/>
      <c r="F159" s="207"/>
      <c r="G159" s="207"/>
      <c r="H159" s="207"/>
      <c r="I159" s="207"/>
      <c r="J159" s="207"/>
      <c r="K159" s="207"/>
      <c r="L159" s="207"/>
      <c r="M159" s="207"/>
      <c r="N159" s="207"/>
      <c r="O159" s="207"/>
      <c r="P159" s="207"/>
      <c r="Q159" s="207"/>
      <c r="R159" s="207"/>
      <c r="S159" s="207"/>
      <c r="T159" s="207"/>
      <c r="U159" s="207"/>
      <c r="V159" s="207"/>
      <c r="W159" s="207"/>
      <c r="X159" s="207"/>
      <c r="Y159" s="207"/>
      <c r="Z159" s="207"/>
      <c r="AA159" s="207"/>
      <c r="AB159" s="207"/>
      <c r="AC159" s="207"/>
      <c r="AD159" s="207"/>
      <c r="AE159" s="207"/>
      <c r="AF159" s="207"/>
      <c r="AG159" s="207"/>
      <c r="AH159" s="207"/>
      <c r="AI159" s="207"/>
      <c r="AJ159" s="207"/>
      <c r="AK159" s="207"/>
      <c r="AL159" s="207"/>
      <c r="AM159" s="207"/>
      <c r="AN159" s="207"/>
      <c r="AO159" s="207"/>
      <c r="AP159" s="207"/>
      <c r="AQ159" s="207"/>
      <c r="AR159" s="207"/>
      <c r="AS159" s="207"/>
      <c r="AT159" s="207"/>
      <c r="AU159" s="207"/>
      <c r="AV159" s="207"/>
      <c r="AW159" s="207"/>
      <c r="AX159" s="207"/>
      <c r="AY159" s="207"/>
      <c r="AZ159" s="207"/>
      <c r="BA159" s="207"/>
      <c r="BB159" s="207"/>
      <c r="BC159" s="207"/>
      <c r="BD159" s="207"/>
      <c r="BE159" s="207"/>
    </row>
    <row r="160" spans="1:57" ht="11.25">
      <c r="A160" s="295"/>
      <c r="B160" s="295"/>
      <c r="C160" s="302"/>
      <c r="D160" s="302"/>
      <c r="E160" s="207"/>
      <c r="F160" s="207"/>
      <c r="G160" s="207"/>
      <c r="H160" s="207"/>
      <c r="I160" s="207"/>
      <c r="J160" s="207"/>
      <c r="K160" s="207"/>
      <c r="L160" s="207"/>
      <c r="M160" s="207"/>
      <c r="N160" s="207"/>
      <c r="O160" s="207"/>
      <c r="P160" s="207"/>
      <c r="Q160" s="207"/>
      <c r="R160" s="207"/>
      <c r="S160" s="207"/>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7"/>
      <c r="AR160" s="207"/>
      <c r="AS160" s="207"/>
      <c r="AT160" s="207"/>
      <c r="AU160" s="207"/>
      <c r="AV160" s="207"/>
      <c r="AW160" s="207"/>
      <c r="AX160" s="207"/>
      <c r="AY160" s="207"/>
      <c r="AZ160" s="207"/>
      <c r="BA160" s="207"/>
      <c r="BB160" s="207"/>
      <c r="BC160" s="207"/>
      <c r="BD160" s="207"/>
      <c r="BE160" s="207"/>
    </row>
    <row r="161" spans="1:57" ht="11.25">
      <c r="A161" s="295"/>
      <c r="B161" s="295"/>
      <c r="C161" s="302"/>
      <c r="D161" s="302"/>
      <c r="E161" s="207"/>
      <c r="F161" s="207"/>
      <c r="G161" s="207"/>
      <c r="H161" s="207"/>
      <c r="I161" s="207"/>
      <c r="J161" s="207"/>
      <c r="K161" s="207"/>
      <c r="L161" s="207"/>
      <c r="M161" s="207"/>
      <c r="N161" s="207"/>
      <c r="O161" s="207"/>
      <c r="P161" s="207"/>
      <c r="Q161" s="207"/>
      <c r="R161" s="207"/>
      <c r="S161" s="207"/>
      <c r="T161" s="207"/>
      <c r="U161" s="207"/>
      <c r="V161" s="207"/>
      <c r="W161" s="207"/>
      <c r="X161" s="207"/>
      <c r="Y161" s="207"/>
      <c r="Z161" s="207"/>
      <c r="AA161" s="207"/>
      <c r="AB161" s="207"/>
      <c r="AC161" s="207"/>
      <c r="AD161" s="207"/>
      <c r="AE161" s="207"/>
      <c r="AF161" s="207"/>
      <c r="AG161" s="207"/>
      <c r="AH161" s="207"/>
      <c r="AI161" s="207"/>
      <c r="AJ161" s="207"/>
      <c r="AK161" s="207"/>
      <c r="AL161" s="207"/>
      <c r="AM161" s="207"/>
      <c r="AN161" s="207"/>
      <c r="AO161" s="207"/>
      <c r="AP161" s="207"/>
      <c r="AQ161" s="207"/>
      <c r="AR161" s="207"/>
      <c r="AS161" s="207"/>
      <c r="AT161" s="207"/>
      <c r="AU161" s="207"/>
      <c r="AV161" s="207"/>
      <c r="AW161" s="207"/>
      <c r="AX161" s="207"/>
      <c r="AY161" s="207"/>
      <c r="AZ161" s="207"/>
      <c r="BA161" s="207"/>
      <c r="BB161" s="207"/>
      <c r="BC161" s="207"/>
      <c r="BD161" s="207"/>
      <c r="BE161" s="207"/>
    </row>
    <row r="162" spans="1:57" ht="11.25">
      <c r="A162" s="295"/>
      <c r="B162" s="295"/>
      <c r="C162" s="302"/>
      <c r="D162" s="302"/>
      <c r="E162" s="207"/>
      <c r="F162" s="207"/>
      <c r="G162" s="207"/>
      <c r="H162" s="207"/>
      <c r="I162" s="207"/>
      <c r="J162" s="207"/>
      <c r="K162" s="207"/>
      <c r="L162" s="207"/>
      <c r="M162" s="207"/>
      <c r="N162" s="207"/>
      <c r="O162" s="207"/>
      <c r="P162" s="207"/>
      <c r="Q162" s="207"/>
      <c r="R162" s="207"/>
      <c r="S162" s="207"/>
      <c r="T162" s="207"/>
      <c r="U162" s="207"/>
      <c r="V162" s="207"/>
      <c r="W162" s="207"/>
      <c r="X162" s="207"/>
      <c r="Y162" s="207"/>
      <c r="Z162" s="207"/>
      <c r="AA162" s="207"/>
      <c r="AB162" s="207"/>
      <c r="AC162" s="207"/>
      <c r="AD162" s="207"/>
      <c r="AE162" s="207"/>
      <c r="AF162" s="207"/>
      <c r="AG162" s="207"/>
      <c r="AH162" s="207"/>
      <c r="AI162" s="207"/>
      <c r="AJ162" s="207"/>
      <c r="AK162" s="207"/>
      <c r="AL162" s="207"/>
      <c r="AM162" s="207"/>
      <c r="AN162" s="207"/>
      <c r="AO162" s="207"/>
      <c r="AP162" s="207"/>
      <c r="AQ162" s="207"/>
      <c r="AR162" s="207"/>
      <c r="AS162" s="207"/>
      <c r="AT162" s="207"/>
      <c r="AU162" s="207"/>
      <c r="AV162" s="207"/>
      <c r="AW162" s="207"/>
      <c r="AX162" s="207"/>
      <c r="AY162" s="207"/>
      <c r="AZ162" s="207"/>
      <c r="BA162" s="207"/>
      <c r="BB162" s="207"/>
      <c r="BC162" s="207"/>
      <c r="BD162" s="207"/>
      <c r="BE162" s="207"/>
    </row>
    <row r="163" spans="1:57" ht="11.25">
      <c r="A163" s="295"/>
      <c r="B163" s="295"/>
      <c r="C163" s="302"/>
      <c r="D163" s="302"/>
      <c r="E163" s="207"/>
      <c r="F163" s="207"/>
      <c r="G163" s="207"/>
      <c r="H163" s="207"/>
      <c r="I163" s="207"/>
      <c r="J163" s="207"/>
      <c r="K163" s="207"/>
      <c r="L163" s="207"/>
      <c r="M163" s="207"/>
      <c r="N163" s="207"/>
      <c r="O163" s="207"/>
      <c r="P163" s="207"/>
      <c r="Q163" s="207"/>
      <c r="R163" s="207"/>
      <c r="S163" s="207"/>
      <c r="T163" s="207"/>
      <c r="U163" s="207"/>
      <c r="V163" s="207"/>
      <c r="W163" s="207"/>
      <c r="X163" s="207"/>
      <c r="Y163" s="207"/>
      <c r="Z163" s="207"/>
      <c r="AA163" s="207"/>
      <c r="AB163" s="207"/>
      <c r="AC163" s="207"/>
      <c r="AD163" s="207"/>
      <c r="AE163" s="207"/>
      <c r="AF163" s="207"/>
      <c r="AG163" s="207"/>
      <c r="AH163" s="207"/>
      <c r="AI163" s="207"/>
      <c r="AJ163" s="207"/>
      <c r="AK163" s="207"/>
      <c r="AL163" s="207"/>
      <c r="AM163" s="207"/>
      <c r="AN163" s="207"/>
      <c r="AO163" s="207"/>
      <c r="AP163" s="207"/>
      <c r="AQ163" s="207"/>
      <c r="AR163" s="207"/>
      <c r="AS163" s="207"/>
      <c r="AT163" s="207"/>
      <c r="AU163" s="207"/>
      <c r="AV163" s="207"/>
      <c r="AW163" s="207"/>
      <c r="AX163" s="207"/>
      <c r="AY163" s="207"/>
      <c r="AZ163" s="207"/>
      <c r="BA163" s="207"/>
      <c r="BB163" s="207"/>
      <c r="BC163" s="207"/>
      <c r="BD163" s="207"/>
      <c r="BE163" s="207"/>
    </row>
    <row r="164" spans="1:57" ht="11.25">
      <c r="A164" s="295"/>
      <c r="B164" s="295"/>
      <c r="C164" s="302"/>
      <c r="D164" s="302"/>
      <c r="E164" s="207"/>
      <c r="F164" s="207"/>
      <c r="G164" s="207"/>
      <c r="H164" s="207"/>
      <c r="I164" s="207"/>
      <c r="J164" s="207"/>
      <c r="K164" s="207"/>
      <c r="L164" s="207"/>
      <c r="M164" s="207"/>
      <c r="N164" s="207"/>
      <c r="O164" s="207"/>
      <c r="P164" s="207"/>
      <c r="Q164" s="207"/>
      <c r="R164" s="207"/>
      <c r="S164" s="207"/>
      <c r="T164" s="207"/>
      <c r="U164" s="207"/>
      <c r="V164" s="207"/>
      <c r="W164" s="207"/>
      <c r="X164" s="207"/>
      <c r="Y164" s="207"/>
      <c r="Z164" s="207"/>
      <c r="AA164" s="207"/>
      <c r="AB164" s="207"/>
      <c r="AC164" s="207"/>
      <c r="AD164" s="207"/>
      <c r="AE164" s="207"/>
      <c r="AF164" s="207"/>
      <c r="AG164" s="207"/>
      <c r="AH164" s="207"/>
      <c r="AI164" s="207"/>
      <c r="AJ164" s="207"/>
      <c r="AK164" s="207"/>
      <c r="AL164" s="207"/>
      <c r="AM164" s="207"/>
      <c r="AN164" s="207"/>
      <c r="AO164" s="207"/>
      <c r="AP164" s="207"/>
      <c r="AQ164" s="207"/>
      <c r="AR164" s="207"/>
      <c r="AS164" s="207"/>
      <c r="AT164" s="207"/>
      <c r="AU164" s="207"/>
      <c r="AV164" s="207"/>
      <c r="AW164" s="207"/>
      <c r="AX164" s="207"/>
      <c r="AY164" s="207"/>
      <c r="AZ164" s="207"/>
      <c r="BA164" s="207"/>
      <c r="BB164" s="207"/>
      <c r="BC164" s="207"/>
      <c r="BD164" s="207"/>
      <c r="BE164" s="207"/>
    </row>
    <row r="165" spans="1:57" ht="11.25">
      <c r="A165" s="295"/>
      <c r="B165" s="295"/>
      <c r="C165" s="302"/>
      <c r="D165" s="302"/>
      <c r="E165" s="207"/>
      <c r="F165" s="207"/>
      <c r="G165" s="207"/>
      <c r="H165" s="207"/>
      <c r="I165" s="207"/>
      <c r="J165" s="207"/>
      <c r="K165" s="207"/>
      <c r="L165" s="207"/>
      <c r="M165" s="207"/>
      <c r="N165" s="207"/>
      <c r="O165" s="207"/>
      <c r="P165" s="207"/>
      <c r="Q165" s="207"/>
      <c r="R165" s="207"/>
      <c r="S165" s="207"/>
      <c r="T165" s="207"/>
      <c r="U165" s="207"/>
      <c r="V165" s="207"/>
      <c r="W165" s="207"/>
      <c r="X165" s="207"/>
      <c r="Y165" s="207"/>
      <c r="Z165" s="207"/>
      <c r="AA165" s="207"/>
      <c r="AB165" s="207"/>
      <c r="AC165" s="207"/>
      <c r="AD165" s="207"/>
      <c r="AE165" s="207"/>
      <c r="AF165" s="207"/>
      <c r="AG165" s="207"/>
      <c r="AH165" s="207"/>
      <c r="AI165" s="207"/>
      <c r="AJ165" s="207"/>
      <c r="AK165" s="207"/>
      <c r="AL165" s="207"/>
      <c r="AM165" s="207"/>
      <c r="AN165" s="207"/>
      <c r="AO165" s="207"/>
      <c r="AP165" s="207"/>
      <c r="AQ165" s="207"/>
      <c r="AR165" s="207"/>
      <c r="AS165" s="207"/>
      <c r="AT165" s="207"/>
      <c r="AU165" s="207"/>
      <c r="AV165" s="207"/>
      <c r="AW165" s="207"/>
      <c r="AX165" s="207"/>
      <c r="AY165" s="207"/>
      <c r="AZ165" s="207"/>
      <c r="BA165" s="207"/>
      <c r="BB165" s="207"/>
      <c r="BC165" s="207"/>
      <c r="BD165" s="207"/>
      <c r="BE165" s="207"/>
    </row>
    <row r="166" spans="1:57" ht="11.25">
      <c r="A166" s="295"/>
      <c r="B166" s="295"/>
      <c r="C166" s="302"/>
      <c r="D166" s="302"/>
      <c r="E166" s="207"/>
      <c r="F166" s="207"/>
      <c r="G166" s="207"/>
      <c r="H166" s="207"/>
      <c r="I166" s="207"/>
      <c r="J166" s="207"/>
      <c r="K166" s="207"/>
      <c r="L166" s="207"/>
      <c r="M166" s="207"/>
      <c r="N166" s="207"/>
      <c r="O166" s="207"/>
      <c r="P166" s="207"/>
      <c r="Q166" s="207"/>
      <c r="R166" s="207"/>
      <c r="S166" s="207"/>
      <c r="T166" s="207"/>
      <c r="U166" s="207"/>
      <c r="V166" s="207"/>
      <c r="W166" s="207"/>
      <c r="X166" s="207"/>
      <c r="Y166" s="207"/>
      <c r="Z166" s="207"/>
      <c r="AA166" s="207"/>
      <c r="AB166" s="207"/>
      <c r="AC166" s="207"/>
      <c r="AD166" s="207"/>
      <c r="AE166" s="207"/>
      <c r="AF166" s="207"/>
      <c r="AG166" s="207"/>
      <c r="AH166" s="207"/>
      <c r="AI166" s="207"/>
      <c r="AJ166" s="207"/>
      <c r="AK166" s="207"/>
      <c r="AL166" s="207"/>
      <c r="AM166" s="207"/>
      <c r="AN166" s="207"/>
      <c r="AO166" s="207"/>
      <c r="AP166" s="207"/>
      <c r="AQ166" s="207"/>
      <c r="AR166" s="207"/>
      <c r="AS166" s="207"/>
      <c r="AT166" s="207"/>
      <c r="AU166" s="207"/>
      <c r="AV166" s="207"/>
      <c r="AW166" s="207"/>
      <c r="AX166" s="207"/>
      <c r="AY166" s="207"/>
      <c r="AZ166" s="207"/>
      <c r="BA166" s="207"/>
      <c r="BB166" s="207"/>
      <c r="BC166" s="207"/>
      <c r="BD166" s="207"/>
      <c r="BE166" s="207"/>
    </row>
    <row r="167" spans="1:57" ht="11.25">
      <c r="A167" s="295"/>
      <c r="B167" s="295"/>
      <c r="C167" s="302"/>
      <c r="D167" s="302"/>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7"/>
      <c r="AM167" s="207"/>
      <c r="AN167" s="207"/>
      <c r="AO167" s="207"/>
      <c r="AP167" s="207"/>
      <c r="AQ167" s="207"/>
      <c r="AR167" s="207"/>
      <c r="AS167" s="207"/>
      <c r="AT167" s="207"/>
      <c r="AU167" s="207"/>
      <c r="AV167" s="207"/>
      <c r="AW167" s="207"/>
      <c r="AX167" s="207"/>
      <c r="AY167" s="207"/>
      <c r="AZ167" s="207"/>
      <c r="BA167" s="207"/>
      <c r="BB167" s="207"/>
      <c r="BC167" s="207"/>
      <c r="BD167" s="207"/>
      <c r="BE167" s="207"/>
    </row>
    <row r="168" spans="1:57" ht="11.25">
      <c r="A168" s="295"/>
      <c r="B168" s="295"/>
      <c r="C168" s="302"/>
      <c r="D168" s="302"/>
      <c r="E168" s="207"/>
      <c r="F168" s="207"/>
      <c r="G168" s="207"/>
      <c r="H168" s="207"/>
      <c r="I168" s="207"/>
      <c r="J168" s="207"/>
      <c r="K168" s="207"/>
      <c r="L168" s="207"/>
      <c r="M168" s="207"/>
      <c r="N168" s="207"/>
      <c r="O168" s="207"/>
      <c r="P168" s="207"/>
      <c r="Q168" s="207"/>
      <c r="R168" s="207"/>
      <c r="S168" s="207"/>
      <c r="T168" s="207"/>
      <c r="U168" s="207"/>
      <c r="V168" s="207"/>
      <c r="W168" s="207"/>
      <c r="X168" s="207"/>
      <c r="Y168" s="207"/>
      <c r="Z168" s="207"/>
      <c r="AA168" s="207"/>
      <c r="AB168" s="207"/>
      <c r="AC168" s="207"/>
      <c r="AD168" s="207"/>
      <c r="AE168" s="207"/>
      <c r="AF168" s="207"/>
      <c r="AG168" s="207"/>
      <c r="AH168" s="207"/>
      <c r="AI168" s="207"/>
      <c r="AJ168" s="207"/>
      <c r="AK168" s="207"/>
      <c r="AL168" s="207"/>
      <c r="AM168" s="207"/>
      <c r="AN168" s="207"/>
      <c r="AO168" s="207"/>
      <c r="AP168" s="207"/>
      <c r="AQ168" s="207"/>
      <c r="AR168" s="207"/>
      <c r="AS168" s="207"/>
      <c r="AT168" s="207"/>
      <c r="AU168" s="207"/>
      <c r="AV168" s="207"/>
      <c r="AW168" s="207"/>
      <c r="AX168" s="207"/>
      <c r="AY168" s="207"/>
      <c r="AZ168" s="207"/>
      <c r="BA168" s="207"/>
      <c r="BB168" s="207"/>
      <c r="BC168" s="207"/>
      <c r="BD168" s="207"/>
      <c r="BE168" s="207"/>
    </row>
    <row r="169" spans="1:57" ht="11.25">
      <c r="A169" s="295"/>
      <c r="B169" s="295"/>
      <c r="C169" s="302"/>
      <c r="D169" s="302"/>
      <c r="E169" s="207"/>
      <c r="F169" s="207"/>
      <c r="G169" s="207"/>
      <c r="H169" s="207"/>
      <c r="I169" s="207"/>
      <c r="J169" s="207"/>
      <c r="K169" s="207"/>
      <c r="L169" s="207"/>
      <c r="M169" s="207"/>
      <c r="N169" s="207"/>
      <c r="O169" s="207"/>
      <c r="P169" s="207"/>
      <c r="Q169" s="207"/>
      <c r="R169" s="207"/>
      <c r="S169" s="207"/>
      <c r="T169" s="207"/>
      <c r="U169" s="207"/>
      <c r="V169" s="207"/>
      <c r="W169" s="207"/>
      <c r="X169" s="207"/>
      <c r="Y169" s="207"/>
      <c r="Z169" s="207"/>
      <c r="AA169" s="207"/>
      <c r="AB169" s="207"/>
      <c r="AC169" s="207"/>
      <c r="AD169" s="207"/>
      <c r="AE169" s="207"/>
      <c r="AF169" s="207"/>
      <c r="AG169" s="207"/>
      <c r="AH169" s="207"/>
      <c r="AI169" s="207"/>
      <c r="AJ169" s="207"/>
      <c r="AK169" s="207"/>
      <c r="AL169" s="207"/>
      <c r="AM169" s="207"/>
      <c r="AN169" s="207"/>
      <c r="AO169" s="207"/>
      <c r="AP169" s="207"/>
      <c r="AQ169" s="207"/>
      <c r="AR169" s="207"/>
      <c r="AS169" s="207"/>
      <c r="AT169" s="207"/>
      <c r="AU169" s="207"/>
      <c r="AV169" s="207"/>
      <c r="AW169" s="207"/>
      <c r="AX169" s="207"/>
      <c r="AY169" s="207"/>
      <c r="AZ169" s="207"/>
      <c r="BA169" s="207"/>
      <c r="BB169" s="207"/>
      <c r="BC169" s="207"/>
      <c r="BD169" s="207"/>
      <c r="BE169" s="207"/>
    </row>
    <row r="170" spans="1:57" ht="11.25">
      <c r="A170" s="295"/>
      <c r="B170" s="295"/>
      <c r="C170" s="302"/>
      <c r="D170" s="302"/>
      <c r="E170" s="207"/>
      <c r="F170" s="207"/>
      <c r="G170" s="207"/>
      <c r="H170" s="207"/>
      <c r="I170" s="207"/>
      <c r="J170" s="207"/>
      <c r="K170" s="207"/>
      <c r="L170" s="207"/>
      <c r="M170" s="207"/>
      <c r="N170" s="207"/>
      <c r="O170" s="207"/>
      <c r="P170" s="207"/>
      <c r="Q170" s="207"/>
      <c r="R170" s="207"/>
      <c r="S170" s="207"/>
      <c r="T170" s="207"/>
      <c r="U170" s="207"/>
      <c r="V170" s="207"/>
      <c r="W170" s="207"/>
      <c r="X170" s="207"/>
      <c r="Y170" s="207"/>
      <c r="Z170" s="207"/>
      <c r="AA170" s="207"/>
      <c r="AB170" s="207"/>
      <c r="AC170" s="207"/>
      <c r="AD170" s="207"/>
      <c r="AE170" s="207"/>
      <c r="AF170" s="207"/>
      <c r="AG170" s="207"/>
      <c r="AH170" s="207"/>
      <c r="AI170" s="207"/>
      <c r="AJ170" s="207"/>
      <c r="AK170" s="207"/>
      <c r="AL170" s="207"/>
      <c r="AM170" s="207"/>
      <c r="AN170" s="207"/>
      <c r="AO170" s="207"/>
      <c r="AP170" s="207"/>
      <c r="AQ170" s="207"/>
      <c r="AR170" s="207"/>
      <c r="AS170" s="207"/>
      <c r="AT170" s="207"/>
      <c r="AU170" s="207"/>
      <c r="AV170" s="207"/>
      <c r="AW170" s="207"/>
      <c r="AX170" s="207"/>
      <c r="AY170" s="207"/>
      <c r="AZ170" s="207"/>
      <c r="BA170" s="207"/>
      <c r="BB170" s="207"/>
      <c r="BC170" s="207"/>
      <c r="BD170" s="207"/>
      <c r="BE170" s="207"/>
    </row>
    <row r="171" spans="1:57" ht="11.25">
      <c r="A171" s="295"/>
      <c r="B171" s="295"/>
      <c r="C171" s="302"/>
      <c r="D171" s="302"/>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row>
    <row r="172" spans="1:57" ht="11.25">
      <c r="A172" s="295"/>
      <c r="B172" s="295"/>
      <c r="C172" s="302"/>
      <c r="D172" s="302"/>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7"/>
      <c r="AY172" s="207"/>
      <c r="AZ172" s="207"/>
      <c r="BA172" s="207"/>
      <c r="BB172" s="207"/>
      <c r="BC172" s="207"/>
      <c r="BD172" s="207"/>
      <c r="BE172" s="207"/>
    </row>
    <row r="173" spans="1:57" ht="11.25">
      <c r="A173" s="295"/>
      <c r="B173" s="295"/>
      <c r="C173" s="302"/>
      <c r="D173" s="302"/>
      <c r="E173" s="207"/>
      <c r="F173" s="207"/>
      <c r="G173" s="207"/>
      <c r="H173" s="207"/>
      <c r="I173" s="207"/>
      <c r="J173" s="207"/>
      <c r="K173" s="207"/>
      <c r="L173" s="207"/>
      <c r="M173" s="207"/>
      <c r="N173" s="207"/>
      <c r="O173" s="207"/>
      <c r="P173" s="207"/>
      <c r="Q173" s="207"/>
      <c r="R173" s="207"/>
      <c r="S173" s="207"/>
      <c r="T173" s="207"/>
      <c r="U173" s="207"/>
      <c r="V173" s="207"/>
      <c r="W173" s="207"/>
      <c r="X173" s="207"/>
      <c r="Y173" s="207"/>
      <c r="Z173" s="207"/>
      <c r="AA173" s="207"/>
      <c r="AB173" s="207"/>
      <c r="AC173" s="207"/>
      <c r="AD173" s="207"/>
      <c r="AE173" s="207"/>
      <c r="AF173" s="207"/>
      <c r="AG173" s="207"/>
      <c r="AH173" s="207"/>
      <c r="AI173" s="207"/>
      <c r="AJ173" s="207"/>
      <c r="AK173" s="207"/>
      <c r="AL173" s="207"/>
      <c r="AM173" s="207"/>
      <c r="AN173" s="207"/>
      <c r="AO173" s="207"/>
      <c r="AP173" s="207"/>
      <c r="AQ173" s="207"/>
      <c r="AR173" s="207"/>
      <c r="AS173" s="207"/>
      <c r="AT173" s="207"/>
      <c r="AU173" s="207"/>
      <c r="AV173" s="207"/>
      <c r="AW173" s="207"/>
      <c r="AX173" s="207"/>
      <c r="AY173" s="207"/>
      <c r="AZ173" s="207"/>
      <c r="BA173" s="207"/>
      <c r="BB173" s="207"/>
      <c r="BC173" s="207"/>
      <c r="BD173" s="207"/>
      <c r="BE173" s="207"/>
    </row>
    <row r="174" spans="1:57" ht="11.25">
      <c r="A174" s="295"/>
      <c r="B174" s="295"/>
      <c r="C174" s="302"/>
      <c r="D174" s="302"/>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row>
    <row r="175" spans="1:57" ht="11.25">
      <c r="A175" s="295"/>
      <c r="B175" s="295"/>
      <c r="C175" s="302"/>
      <c r="D175" s="302"/>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207"/>
      <c r="AM175" s="207"/>
      <c r="AN175" s="207"/>
      <c r="AO175" s="207"/>
      <c r="AP175" s="207"/>
      <c r="AQ175" s="207"/>
      <c r="AR175" s="207"/>
      <c r="AS175" s="207"/>
      <c r="AT175" s="207"/>
      <c r="AU175" s="207"/>
      <c r="AV175" s="207"/>
      <c r="AW175" s="207"/>
      <c r="AX175" s="207"/>
      <c r="AY175" s="207"/>
      <c r="AZ175" s="207"/>
      <c r="BA175" s="207"/>
      <c r="BB175" s="207"/>
      <c r="BC175" s="207"/>
      <c r="BD175" s="207"/>
      <c r="BE175" s="207"/>
    </row>
    <row r="176" spans="1:57" ht="11.25">
      <c r="A176" s="295"/>
      <c r="B176" s="295"/>
      <c r="C176" s="302"/>
      <c r="D176" s="302"/>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207"/>
      <c r="AF176" s="207"/>
      <c r="AG176" s="207"/>
      <c r="AH176" s="207"/>
      <c r="AI176" s="207"/>
      <c r="AJ176" s="207"/>
      <c r="AK176" s="207"/>
      <c r="AL176" s="207"/>
      <c r="AM176" s="207"/>
      <c r="AN176" s="207"/>
      <c r="AO176" s="207"/>
      <c r="AP176" s="207"/>
      <c r="AQ176" s="207"/>
      <c r="AR176" s="207"/>
      <c r="AS176" s="207"/>
      <c r="AT176" s="207"/>
      <c r="AU176" s="207"/>
      <c r="AV176" s="207"/>
      <c r="AW176" s="207"/>
      <c r="AX176" s="207"/>
      <c r="AY176" s="207"/>
      <c r="AZ176" s="207"/>
      <c r="BA176" s="207"/>
      <c r="BB176" s="207"/>
      <c r="BC176" s="207"/>
      <c r="BD176" s="207"/>
      <c r="BE176" s="207"/>
    </row>
    <row r="177" spans="1:57" ht="11.25">
      <c r="A177" s="295"/>
      <c r="B177" s="295"/>
      <c r="C177" s="302"/>
      <c r="D177" s="302"/>
      <c r="E177" s="207"/>
      <c r="F177" s="207"/>
      <c r="G177" s="207"/>
      <c r="H177" s="207"/>
      <c r="I177" s="207"/>
      <c r="J177" s="207"/>
      <c r="K177" s="207"/>
      <c r="L177" s="207"/>
      <c r="M177" s="207"/>
      <c r="N177" s="207"/>
      <c r="O177" s="207"/>
      <c r="P177" s="207"/>
      <c r="Q177" s="207"/>
      <c r="R177" s="207"/>
      <c r="S177" s="207"/>
      <c r="T177" s="207"/>
      <c r="U177" s="207"/>
      <c r="V177" s="207"/>
      <c r="W177" s="207"/>
      <c r="X177" s="207"/>
      <c r="Y177" s="207"/>
      <c r="Z177" s="207"/>
      <c r="AA177" s="207"/>
      <c r="AB177" s="207"/>
      <c r="AC177" s="207"/>
      <c r="AD177" s="207"/>
      <c r="AE177" s="207"/>
      <c r="AF177" s="207"/>
      <c r="AG177" s="207"/>
      <c r="AH177" s="207"/>
      <c r="AI177" s="207"/>
      <c r="AJ177" s="207"/>
      <c r="AK177" s="207"/>
      <c r="AL177" s="207"/>
      <c r="AM177" s="207"/>
      <c r="AN177" s="207"/>
      <c r="AO177" s="207"/>
      <c r="AP177" s="207"/>
      <c r="AQ177" s="207"/>
      <c r="AR177" s="207"/>
      <c r="AS177" s="207"/>
      <c r="AT177" s="207"/>
      <c r="AU177" s="207"/>
      <c r="AV177" s="207"/>
      <c r="AW177" s="207"/>
      <c r="AX177" s="207"/>
      <c r="AY177" s="207"/>
      <c r="AZ177" s="207"/>
      <c r="BA177" s="207"/>
      <c r="BB177" s="207"/>
      <c r="BC177" s="207"/>
      <c r="BD177" s="207"/>
      <c r="BE177" s="207"/>
    </row>
    <row r="178" spans="1:57" ht="11.25">
      <c r="A178" s="295"/>
      <c r="B178" s="295"/>
      <c r="C178" s="302"/>
      <c r="D178" s="302"/>
      <c r="E178" s="207"/>
      <c r="F178" s="207"/>
      <c r="G178" s="207"/>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7"/>
      <c r="AY178" s="207"/>
      <c r="AZ178" s="207"/>
      <c r="BA178" s="207"/>
      <c r="BB178" s="207"/>
      <c r="BC178" s="207"/>
      <c r="BD178" s="207"/>
      <c r="BE178" s="207"/>
    </row>
    <row r="179" spans="1:57" ht="11.25">
      <c r="A179" s="295"/>
      <c r="B179" s="295"/>
      <c r="C179" s="302"/>
      <c r="D179" s="302"/>
      <c r="E179" s="207"/>
      <c r="F179" s="207"/>
      <c r="G179" s="207"/>
      <c r="H179" s="207"/>
      <c r="I179" s="207"/>
      <c r="J179" s="207"/>
      <c r="K179" s="207"/>
      <c r="L179" s="207"/>
      <c r="M179" s="207"/>
      <c r="N179" s="207"/>
      <c r="O179" s="207"/>
      <c r="P179" s="207"/>
      <c r="Q179" s="207"/>
      <c r="R179" s="207"/>
      <c r="S179" s="207"/>
      <c r="T179" s="207"/>
      <c r="U179" s="207"/>
      <c r="V179" s="207"/>
      <c r="W179" s="207"/>
      <c r="X179" s="207"/>
      <c r="Y179" s="207"/>
      <c r="Z179" s="207"/>
      <c r="AA179" s="207"/>
      <c r="AB179" s="207"/>
      <c r="AC179" s="207"/>
      <c r="AD179" s="207"/>
      <c r="AE179" s="207"/>
      <c r="AF179" s="207"/>
      <c r="AG179" s="207"/>
      <c r="AH179" s="207"/>
      <c r="AI179" s="207"/>
      <c r="AJ179" s="207"/>
      <c r="AK179" s="207"/>
      <c r="AL179" s="207"/>
      <c r="AM179" s="207"/>
      <c r="AN179" s="207"/>
      <c r="AO179" s="207"/>
      <c r="AP179" s="207"/>
      <c r="AQ179" s="207"/>
      <c r="AR179" s="207"/>
      <c r="AS179" s="207"/>
      <c r="AT179" s="207"/>
      <c r="AU179" s="207"/>
      <c r="AV179" s="207"/>
      <c r="AW179" s="207"/>
      <c r="AX179" s="207"/>
      <c r="AY179" s="207"/>
      <c r="AZ179" s="207"/>
      <c r="BA179" s="207"/>
      <c r="BB179" s="207"/>
      <c r="BC179" s="207"/>
      <c r="BD179" s="207"/>
      <c r="BE179" s="207"/>
    </row>
    <row r="180" spans="1:57" ht="11.25">
      <c r="A180" s="295"/>
      <c r="B180" s="295"/>
      <c r="C180" s="302"/>
      <c r="D180" s="302"/>
      <c r="E180" s="207"/>
      <c r="F180" s="207"/>
      <c r="G180" s="207"/>
      <c r="H180" s="207"/>
      <c r="I180" s="207"/>
      <c r="J180" s="207"/>
      <c r="K180" s="207"/>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207"/>
      <c r="AN180" s="207"/>
      <c r="AO180" s="207"/>
      <c r="AP180" s="207"/>
      <c r="AQ180" s="207"/>
      <c r="AR180" s="207"/>
      <c r="AS180" s="207"/>
      <c r="AT180" s="207"/>
      <c r="AU180" s="207"/>
      <c r="AV180" s="207"/>
      <c r="AW180" s="207"/>
      <c r="AX180" s="207"/>
      <c r="AY180" s="207"/>
      <c r="AZ180" s="207"/>
      <c r="BA180" s="207"/>
      <c r="BB180" s="207"/>
      <c r="BC180" s="207"/>
      <c r="BD180" s="207"/>
      <c r="BE180" s="207"/>
    </row>
    <row r="181" spans="1:57" ht="11.25">
      <c r="A181" s="295"/>
      <c r="B181" s="295"/>
      <c r="C181" s="302"/>
      <c r="D181" s="302"/>
      <c r="E181" s="207"/>
      <c r="F181" s="207"/>
      <c r="G181" s="207"/>
      <c r="H181" s="207"/>
      <c r="I181" s="207"/>
      <c r="J181" s="207"/>
      <c r="K181" s="207"/>
      <c r="L181" s="207"/>
      <c r="M181" s="207"/>
      <c r="N181" s="207"/>
      <c r="O181" s="207"/>
      <c r="P181" s="207"/>
      <c r="Q181" s="207"/>
      <c r="R181" s="207"/>
      <c r="S181" s="207"/>
      <c r="T181" s="207"/>
      <c r="U181" s="207"/>
      <c r="V181" s="207"/>
      <c r="W181" s="207"/>
      <c r="X181" s="207"/>
      <c r="Y181" s="207"/>
      <c r="Z181" s="207"/>
      <c r="AA181" s="207"/>
      <c r="AB181" s="207"/>
      <c r="AC181" s="207"/>
      <c r="AD181" s="207"/>
      <c r="AE181" s="207"/>
      <c r="AF181" s="207"/>
      <c r="AG181" s="207"/>
      <c r="AH181" s="207"/>
      <c r="AI181" s="207"/>
      <c r="AJ181" s="207"/>
      <c r="AK181" s="207"/>
      <c r="AL181" s="207"/>
      <c r="AM181" s="207"/>
      <c r="AN181" s="207"/>
      <c r="AO181" s="207"/>
      <c r="AP181" s="207"/>
      <c r="AQ181" s="207"/>
      <c r="AR181" s="207"/>
      <c r="AS181" s="207"/>
      <c r="AT181" s="207"/>
      <c r="AU181" s="207"/>
      <c r="AV181" s="207"/>
      <c r="AW181" s="207"/>
      <c r="AX181" s="207"/>
      <c r="AY181" s="207"/>
      <c r="AZ181" s="207"/>
      <c r="BA181" s="207"/>
      <c r="BB181" s="207"/>
      <c r="BC181" s="207"/>
      <c r="BD181" s="207"/>
      <c r="BE181" s="207"/>
    </row>
    <row r="182" spans="1:57" ht="11.25">
      <c r="A182" s="295"/>
      <c r="B182" s="295"/>
      <c r="C182" s="302"/>
      <c r="D182" s="302"/>
      <c r="E182" s="207"/>
      <c r="F182" s="207"/>
      <c r="G182" s="207"/>
      <c r="H182" s="207"/>
      <c r="I182" s="207"/>
      <c r="J182" s="207"/>
      <c r="K182" s="207"/>
      <c r="L182" s="207"/>
      <c r="M182" s="207"/>
      <c r="N182" s="207"/>
      <c r="O182" s="207"/>
      <c r="P182" s="207"/>
      <c r="Q182" s="207"/>
      <c r="R182" s="207"/>
      <c r="S182" s="207"/>
      <c r="T182" s="207"/>
      <c r="U182" s="207"/>
      <c r="V182" s="207"/>
      <c r="W182" s="207"/>
      <c r="X182" s="207"/>
      <c r="Y182" s="207"/>
      <c r="Z182" s="207"/>
      <c r="AA182" s="207"/>
      <c r="AB182" s="207"/>
      <c r="AC182" s="207"/>
      <c r="AD182" s="207"/>
      <c r="AE182" s="207"/>
      <c r="AF182" s="207"/>
      <c r="AG182" s="207"/>
      <c r="AH182" s="207"/>
      <c r="AI182" s="207"/>
      <c r="AJ182" s="207"/>
      <c r="AK182" s="207"/>
      <c r="AL182" s="207"/>
      <c r="AM182" s="207"/>
      <c r="AN182" s="207"/>
      <c r="AO182" s="207"/>
      <c r="AP182" s="207"/>
      <c r="AQ182" s="207"/>
      <c r="AR182" s="207"/>
      <c r="AS182" s="207"/>
      <c r="AT182" s="207"/>
      <c r="AU182" s="207"/>
      <c r="AV182" s="207"/>
      <c r="AW182" s="207"/>
      <c r="AX182" s="207"/>
      <c r="AY182" s="207"/>
      <c r="AZ182" s="207"/>
      <c r="BA182" s="207"/>
      <c r="BB182" s="207"/>
      <c r="BC182" s="207"/>
      <c r="BD182" s="207"/>
      <c r="BE182" s="207"/>
    </row>
    <row r="183" spans="1:57" ht="11.25">
      <c r="A183" s="295"/>
      <c r="B183" s="295"/>
      <c r="C183" s="302"/>
      <c r="D183" s="302"/>
      <c r="E183" s="207"/>
      <c r="F183" s="207"/>
      <c r="G183" s="207"/>
      <c r="H183" s="207"/>
      <c r="I183" s="207"/>
      <c r="J183" s="207"/>
      <c r="K183" s="207"/>
      <c r="L183" s="207"/>
      <c r="M183" s="207"/>
      <c r="N183" s="207"/>
      <c r="O183" s="207"/>
      <c r="P183" s="207"/>
      <c r="Q183" s="207"/>
      <c r="R183" s="207"/>
      <c r="S183" s="207"/>
      <c r="T183" s="207"/>
      <c r="U183" s="207"/>
      <c r="V183" s="207"/>
      <c r="W183" s="207"/>
      <c r="X183" s="207"/>
      <c r="Y183" s="207"/>
      <c r="Z183" s="207"/>
      <c r="AA183" s="207"/>
      <c r="AB183" s="207"/>
      <c r="AC183" s="207"/>
      <c r="AD183" s="207"/>
      <c r="AE183" s="207"/>
      <c r="AF183" s="207"/>
      <c r="AG183" s="207"/>
      <c r="AH183" s="207"/>
      <c r="AI183" s="207"/>
      <c r="AJ183" s="207"/>
      <c r="AK183" s="207"/>
      <c r="AL183" s="207"/>
      <c r="AM183" s="207"/>
      <c r="AN183" s="207"/>
      <c r="AO183" s="207"/>
      <c r="AP183" s="207"/>
      <c r="AQ183" s="207"/>
      <c r="AR183" s="207"/>
      <c r="AS183" s="207"/>
      <c r="AT183" s="207"/>
      <c r="AU183" s="207"/>
      <c r="AV183" s="207"/>
      <c r="AW183" s="207"/>
      <c r="AX183" s="207"/>
      <c r="AY183" s="207"/>
      <c r="AZ183" s="207"/>
      <c r="BA183" s="207"/>
      <c r="BB183" s="207"/>
      <c r="BC183" s="207"/>
      <c r="BD183" s="207"/>
      <c r="BE183" s="207"/>
    </row>
    <row r="184" spans="1:57" ht="11.25">
      <c r="A184" s="295"/>
      <c r="B184" s="295"/>
      <c r="C184" s="302"/>
      <c r="D184" s="302"/>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07"/>
      <c r="AC184" s="207"/>
      <c r="AD184" s="207"/>
      <c r="AE184" s="207"/>
      <c r="AF184" s="207"/>
      <c r="AG184" s="207"/>
      <c r="AH184" s="207"/>
      <c r="AI184" s="207"/>
      <c r="AJ184" s="207"/>
      <c r="AK184" s="207"/>
      <c r="AL184" s="207"/>
      <c r="AM184" s="207"/>
      <c r="AN184" s="207"/>
      <c r="AO184" s="207"/>
      <c r="AP184" s="207"/>
      <c r="AQ184" s="207"/>
      <c r="AR184" s="207"/>
      <c r="AS184" s="207"/>
      <c r="AT184" s="207"/>
      <c r="AU184" s="207"/>
      <c r="AV184" s="207"/>
      <c r="AW184" s="207"/>
      <c r="AX184" s="207"/>
      <c r="AY184" s="207"/>
      <c r="AZ184" s="207"/>
      <c r="BA184" s="207"/>
      <c r="BB184" s="207"/>
      <c r="BC184" s="207"/>
      <c r="BD184" s="207"/>
      <c r="BE184" s="207"/>
    </row>
    <row r="185" spans="1:57" ht="11.25">
      <c r="A185" s="295"/>
      <c r="B185" s="295"/>
      <c r="C185" s="302"/>
      <c r="D185" s="302"/>
      <c r="E185" s="207"/>
      <c r="F185" s="207"/>
      <c r="G185" s="207"/>
      <c r="H185" s="207"/>
      <c r="I185" s="207"/>
      <c r="J185" s="207"/>
      <c r="K185" s="207"/>
      <c r="L185" s="207"/>
      <c r="M185" s="207"/>
      <c r="N185" s="207"/>
      <c r="O185" s="207"/>
      <c r="P185" s="207"/>
      <c r="Q185" s="207"/>
      <c r="R185" s="207"/>
      <c r="S185" s="207"/>
      <c r="T185" s="207"/>
      <c r="U185" s="207"/>
      <c r="V185" s="207"/>
      <c r="W185" s="207"/>
      <c r="X185" s="207"/>
      <c r="Y185" s="207"/>
      <c r="Z185" s="207"/>
      <c r="AA185" s="207"/>
      <c r="AB185" s="207"/>
      <c r="AC185" s="207"/>
      <c r="AD185" s="207"/>
      <c r="AE185" s="207"/>
      <c r="AF185" s="207"/>
      <c r="AG185" s="207"/>
      <c r="AH185" s="207"/>
      <c r="AI185" s="207"/>
      <c r="AJ185" s="207"/>
      <c r="AK185" s="207"/>
      <c r="AL185" s="207"/>
      <c r="AM185" s="207"/>
      <c r="AN185" s="207"/>
      <c r="AO185" s="207"/>
      <c r="AP185" s="207"/>
      <c r="AQ185" s="207"/>
      <c r="AR185" s="207"/>
      <c r="AS185" s="207"/>
      <c r="AT185" s="207"/>
      <c r="AU185" s="207"/>
      <c r="AV185" s="207"/>
      <c r="AW185" s="207"/>
      <c r="AX185" s="207"/>
      <c r="AY185" s="207"/>
      <c r="AZ185" s="207"/>
      <c r="BA185" s="207"/>
      <c r="BB185" s="207"/>
      <c r="BC185" s="207"/>
      <c r="BD185" s="207"/>
      <c r="BE185" s="207"/>
    </row>
    <row r="186" spans="1:57" ht="11.25">
      <c r="A186" s="295"/>
      <c r="B186" s="295"/>
      <c r="C186" s="302"/>
      <c r="D186" s="302"/>
      <c r="E186" s="207"/>
      <c r="F186" s="207"/>
      <c r="G186" s="207"/>
      <c r="H186" s="207"/>
      <c r="I186" s="207"/>
      <c r="J186" s="207"/>
      <c r="K186" s="207"/>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207"/>
      <c r="AN186" s="207"/>
      <c r="AO186" s="207"/>
      <c r="AP186" s="207"/>
      <c r="AQ186" s="207"/>
      <c r="AR186" s="207"/>
      <c r="AS186" s="207"/>
      <c r="AT186" s="207"/>
      <c r="AU186" s="207"/>
      <c r="AV186" s="207"/>
      <c r="AW186" s="207"/>
      <c r="AX186" s="207"/>
      <c r="AY186" s="207"/>
      <c r="AZ186" s="207"/>
      <c r="BA186" s="207"/>
      <c r="BB186" s="207"/>
      <c r="BC186" s="207"/>
      <c r="BD186" s="207"/>
      <c r="BE186" s="207"/>
    </row>
    <row r="187" spans="1:57" ht="11.25">
      <c r="A187" s="295"/>
      <c r="B187" s="295"/>
      <c r="C187" s="302"/>
      <c r="D187" s="302"/>
      <c r="E187" s="207"/>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7"/>
      <c r="AY187" s="207"/>
      <c r="AZ187" s="207"/>
      <c r="BA187" s="207"/>
      <c r="BB187" s="207"/>
      <c r="BC187" s="207"/>
      <c r="BD187" s="207"/>
      <c r="BE187" s="207"/>
    </row>
    <row r="188" spans="1:57" ht="11.25">
      <c r="A188" s="295"/>
      <c r="B188" s="295"/>
      <c r="C188" s="302"/>
      <c r="D188" s="302"/>
      <c r="E188" s="207"/>
      <c r="F188" s="207"/>
      <c r="G188" s="207"/>
      <c r="H188" s="207"/>
      <c r="I188" s="207"/>
      <c r="J188" s="207"/>
      <c r="K188" s="207"/>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207"/>
      <c r="AX188" s="207"/>
      <c r="AY188" s="207"/>
      <c r="AZ188" s="207"/>
      <c r="BA188" s="207"/>
      <c r="BB188" s="207"/>
      <c r="BC188" s="207"/>
      <c r="BD188" s="207"/>
      <c r="BE188" s="207"/>
    </row>
    <row r="189" spans="1:57" ht="11.25">
      <c r="A189" s="295"/>
      <c r="B189" s="295"/>
      <c r="C189" s="302"/>
      <c r="D189" s="302"/>
      <c r="E189" s="207"/>
      <c r="F189" s="207"/>
      <c r="G189" s="207"/>
      <c r="H189" s="207"/>
      <c r="I189" s="207"/>
      <c r="J189" s="207"/>
      <c r="K189" s="207"/>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07"/>
      <c r="AV189" s="207"/>
      <c r="AW189" s="207"/>
      <c r="AX189" s="207"/>
      <c r="AY189" s="207"/>
      <c r="AZ189" s="207"/>
      <c r="BA189" s="207"/>
      <c r="BB189" s="207"/>
      <c r="BC189" s="207"/>
      <c r="BD189" s="207"/>
      <c r="BE189" s="207"/>
    </row>
    <row r="190" spans="1:57" ht="11.25">
      <c r="A190" s="295"/>
      <c r="B190" s="295"/>
      <c r="C190" s="302"/>
      <c r="D190" s="302"/>
      <c r="E190" s="207"/>
      <c r="F190" s="207"/>
      <c r="G190" s="207"/>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7"/>
      <c r="AY190" s="207"/>
      <c r="AZ190" s="207"/>
      <c r="BA190" s="207"/>
      <c r="BB190" s="207"/>
      <c r="BC190" s="207"/>
      <c r="BD190" s="207"/>
      <c r="BE190" s="207"/>
    </row>
    <row r="191" spans="1:57" ht="11.25">
      <c r="A191" s="295"/>
      <c r="B191" s="295"/>
      <c r="C191" s="302"/>
      <c r="D191" s="302"/>
      <c r="E191" s="207"/>
      <c r="F191" s="207"/>
      <c r="G191" s="207"/>
      <c r="H191" s="207"/>
      <c r="I191" s="207"/>
      <c r="J191" s="207"/>
      <c r="K191" s="207"/>
      <c r="L191" s="207"/>
      <c r="M191" s="207"/>
      <c r="N191" s="207"/>
      <c r="O191" s="207"/>
      <c r="P191" s="207"/>
      <c r="Q191" s="207"/>
      <c r="R191" s="207"/>
      <c r="S191" s="207"/>
      <c r="T191" s="207"/>
      <c r="U191" s="207"/>
      <c r="V191" s="207"/>
      <c r="W191" s="207"/>
      <c r="X191" s="207"/>
      <c r="Y191" s="207"/>
      <c r="Z191" s="207"/>
      <c r="AA191" s="207"/>
      <c r="AB191" s="207"/>
      <c r="AC191" s="207"/>
      <c r="AD191" s="207"/>
      <c r="AE191" s="207"/>
      <c r="AF191" s="207"/>
      <c r="AG191" s="207"/>
      <c r="AH191" s="207"/>
      <c r="AI191" s="207"/>
      <c r="AJ191" s="207"/>
      <c r="AK191" s="207"/>
      <c r="AL191" s="207"/>
      <c r="AM191" s="207"/>
      <c r="AN191" s="207"/>
      <c r="AO191" s="207"/>
      <c r="AP191" s="207"/>
      <c r="AQ191" s="207"/>
      <c r="AR191" s="207"/>
      <c r="AS191" s="207"/>
      <c r="AT191" s="207"/>
      <c r="AU191" s="207"/>
      <c r="AV191" s="207"/>
      <c r="AW191" s="207"/>
      <c r="AX191" s="207"/>
      <c r="AY191" s="207"/>
      <c r="AZ191" s="207"/>
      <c r="BA191" s="207"/>
      <c r="BB191" s="207"/>
      <c r="BC191" s="207"/>
      <c r="BD191" s="207"/>
      <c r="BE191" s="207"/>
    </row>
    <row r="192" spans="1:57" ht="11.25">
      <c r="A192" s="295"/>
      <c r="B192" s="295"/>
      <c r="C192" s="302"/>
      <c r="D192" s="302"/>
      <c r="E192" s="207"/>
      <c r="F192" s="207"/>
      <c r="G192" s="207"/>
      <c r="H192" s="207"/>
      <c r="I192" s="207"/>
      <c r="J192" s="207"/>
      <c r="K192" s="207"/>
      <c r="L192" s="207"/>
      <c r="M192" s="207"/>
      <c r="N192" s="207"/>
      <c r="O192" s="207"/>
      <c r="P192" s="207"/>
      <c r="Q192" s="207"/>
      <c r="R192" s="207"/>
      <c r="S192" s="207"/>
      <c r="T192" s="207"/>
      <c r="U192" s="207"/>
      <c r="V192" s="207"/>
      <c r="W192" s="207"/>
      <c r="X192" s="207"/>
      <c r="Y192" s="207"/>
      <c r="Z192" s="207"/>
      <c r="AA192" s="207"/>
      <c r="AB192" s="207"/>
      <c r="AC192" s="207"/>
      <c r="AD192" s="207"/>
      <c r="AE192" s="207"/>
      <c r="AF192" s="207"/>
      <c r="AG192" s="207"/>
      <c r="AH192" s="207"/>
      <c r="AI192" s="207"/>
      <c r="AJ192" s="207"/>
      <c r="AK192" s="207"/>
      <c r="AL192" s="207"/>
      <c r="AM192" s="207"/>
      <c r="AN192" s="207"/>
      <c r="AO192" s="207"/>
      <c r="AP192" s="207"/>
      <c r="AQ192" s="207"/>
      <c r="AR192" s="207"/>
      <c r="AS192" s="207"/>
      <c r="AT192" s="207"/>
      <c r="AU192" s="207"/>
      <c r="AV192" s="207"/>
      <c r="AW192" s="207"/>
      <c r="AX192" s="207"/>
      <c r="AY192" s="207"/>
      <c r="AZ192" s="207"/>
      <c r="BA192" s="207"/>
      <c r="BB192" s="207"/>
      <c r="BC192" s="207"/>
      <c r="BD192" s="207"/>
      <c r="BE192" s="207"/>
    </row>
    <row r="193" spans="1:57" ht="11.25">
      <c r="A193" s="295"/>
      <c r="B193" s="295"/>
      <c r="C193" s="302"/>
      <c r="D193" s="302"/>
      <c r="E193" s="207"/>
      <c r="F193" s="207"/>
      <c r="G193" s="207"/>
      <c r="H193" s="207"/>
      <c r="I193" s="207"/>
      <c r="J193" s="207"/>
      <c r="K193" s="207"/>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c r="AI193" s="207"/>
      <c r="AJ193" s="207"/>
      <c r="AK193" s="207"/>
      <c r="AL193" s="207"/>
      <c r="AM193" s="207"/>
      <c r="AN193" s="207"/>
      <c r="AO193" s="207"/>
      <c r="AP193" s="207"/>
      <c r="AQ193" s="207"/>
      <c r="AR193" s="207"/>
      <c r="AS193" s="207"/>
      <c r="AT193" s="207"/>
      <c r="AU193" s="207"/>
      <c r="AV193" s="207"/>
      <c r="AW193" s="207"/>
      <c r="AX193" s="207"/>
      <c r="AY193" s="207"/>
      <c r="AZ193" s="207"/>
      <c r="BA193" s="207"/>
      <c r="BB193" s="207"/>
      <c r="BC193" s="207"/>
      <c r="BD193" s="207"/>
      <c r="BE193" s="207"/>
    </row>
    <row r="194" spans="1:57" ht="11.25">
      <c r="A194" s="295"/>
      <c r="B194" s="295"/>
      <c r="C194" s="302"/>
      <c r="D194" s="302"/>
      <c r="E194" s="207"/>
      <c r="F194" s="207"/>
      <c r="G194" s="207"/>
      <c r="H194" s="207"/>
      <c r="I194" s="207"/>
      <c r="J194" s="207"/>
      <c r="K194" s="207"/>
      <c r="L194" s="207"/>
      <c r="M194" s="207"/>
      <c r="N194" s="207"/>
      <c r="O194" s="207"/>
      <c r="P194" s="207"/>
      <c r="Q194" s="207"/>
      <c r="R194" s="207"/>
      <c r="S194" s="207"/>
      <c r="T194" s="207"/>
      <c r="U194" s="207"/>
      <c r="V194" s="207"/>
      <c r="W194" s="207"/>
      <c r="X194" s="207"/>
      <c r="Y194" s="207"/>
      <c r="Z194" s="207"/>
      <c r="AA194" s="207"/>
      <c r="AB194" s="207"/>
      <c r="AC194" s="207"/>
      <c r="AD194" s="207"/>
      <c r="AE194" s="207"/>
      <c r="AF194" s="207"/>
      <c r="AG194" s="207"/>
      <c r="AH194" s="207"/>
      <c r="AI194" s="207"/>
      <c r="AJ194" s="207"/>
      <c r="AK194" s="207"/>
      <c r="AL194" s="207"/>
      <c r="AM194" s="207"/>
      <c r="AN194" s="207"/>
      <c r="AO194" s="207"/>
      <c r="AP194" s="207"/>
      <c r="AQ194" s="207"/>
      <c r="AR194" s="207"/>
      <c r="AS194" s="207"/>
      <c r="AT194" s="207"/>
      <c r="AU194" s="207"/>
      <c r="AV194" s="207"/>
      <c r="AW194" s="207"/>
      <c r="AX194" s="207"/>
      <c r="AY194" s="207"/>
      <c r="AZ194" s="207"/>
      <c r="BA194" s="207"/>
      <c r="BB194" s="207"/>
      <c r="BC194" s="207"/>
      <c r="BD194" s="207"/>
      <c r="BE194" s="207"/>
    </row>
    <row r="195" spans="1:57" ht="11.25">
      <c r="A195" s="295"/>
      <c r="B195" s="295"/>
      <c r="C195" s="302"/>
      <c r="D195" s="302"/>
      <c r="E195" s="207"/>
      <c r="F195" s="207"/>
      <c r="G195" s="207"/>
      <c r="H195" s="207"/>
      <c r="I195" s="207"/>
      <c r="J195" s="207"/>
      <c r="K195" s="207"/>
      <c r="L195" s="207"/>
      <c r="M195" s="207"/>
      <c r="N195" s="207"/>
      <c r="O195" s="207"/>
      <c r="P195" s="207"/>
      <c r="Q195" s="207"/>
      <c r="R195" s="207"/>
      <c r="S195" s="207"/>
      <c r="T195" s="207"/>
      <c r="U195" s="207"/>
      <c r="V195" s="207"/>
      <c r="W195" s="207"/>
      <c r="X195" s="207"/>
      <c r="Y195" s="207"/>
      <c r="Z195" s="207"/>
      <c r="AA195" s="207"/>
      <c r="AB195" s="207"/>
      <c r="AC195" s="207"/>
      <c r="AD195" s="207"/>
      <c r="AE195" s="207"/>
      <c r="AF195" s="207"/>
      <c r="AG195" s="207"/>
      <c r="AH195" s="207"/>
      <c r="AI195" s="207"/>
      <c r="AJ195" s="207"/>
      <c r="AK195" s="207"/>
      <c r="AL195" s="207"/>
      <c r="AM195" s="207"/>
      <c r="AN195" s="207"/>
      <c r="AO195" s="207"/>
      <c r="AP195" s="207"/>
      <c r="AQ195" s="207"/>
      <c r="AR195" s="207"/>
      <c r="AS195" s="207"/>
      <c r="AT195" s="207"/>
      <c r="AU195" s="207"/>
      <c r="AV195" s="207"/>
      <c r="AW195" s="207"/>
      <c r="AX195" s="207"/>
      <c r="AY195" s="207"/>
      <c r="AZ195" s="207"/>
      <c r="BA195" s="207"/>
      <c r="BB195" s="207"/>
      <c r="BC195" s="207"/>
      <c r="BD195" s="207"/>
      <c r="BE195" s="207"/>
    </row>
    <row r="196" spans="1:57" ht="11.25">
      <c r="A196" s="295"/>
      <c r="B196" s="295"/>
      <c r="C196" s="302"/>
      <c r="D196" s="302"/>
      <c r="E196" s="207"/>
      <c r="F196" s="207"/>
      <c r="G196" s="207"/>
      <c r="H196" s="207"/>
      <c r="I196" s="207"/>
      <c r="J196" s="207"/>
      <c r="K196" s="207"/>
      <c r="L196" s="207"/>
      <c r="M196" s="207"/>
      <c r="N196" s="207"/>
      <c r="O196" s="207"/>
      <c r="P196" s="207"/>
      <c r="Q196" s="207"/>
      <c r="R196" s="207"/>
      <c r="S196" s="207"/>
      <c r="T196" s="207"/>
      <c r="U196" s="207"/>
      <c r="V196" s="207"/>
      <c r="W196" s="207"/>
      <c r="X196" s="207"/>
      <c r="Y196" s="207"/>
      <c r="Z196" s="207"/>
      <c r="AA196" s="207"/>
      <c r="AB196" s="207"/>
      <c r="AC196" s="207"/>
      <c r="AD196" s="207"/>
      <c r="AE196" s="207"/>
      <c r="AF196" s="207"/>
      <c r="AG196" s="207"/>
      <c r="AH196" s="207"/>
      <c r="AI196" s="207"/>
      <c r="AJ196" s="207"/>
      <c r="AK196" s="207"/>
      <c r="AL196" s="207"/>
      <c r="AM196" s="207"/>
      <c r="AN196" s="207"/>
      <c r="AO196" s="207"/>
      <c r="AP196" s="207"/>
      <c r="AQ196" s="207"/>
      <c r="AR196" s="207"/>
      <c r="AS196" s="207"/>
      <c r="AT196" s="207"/>
      <c r="AU196" s="207"/>
      <c r="AV196" s="207"/>
      <c r="AW196" s="207"/>
      <c r="AX196" s="207"/>
      <c r="AY196" s="207"/>
      <c r="AZ196" s="207"/>
      <c r="BA196" s="207"/>
      <c r="BB196" s="207"/>
      <c r="BC196" s="207"/>
      <c r="BD196" s="207"/>
      <c r="BE196" s="207"/>
    </row>
    <row r="197" spans="1:57" ht="11.25">
      <c r="A197" s="295"/>
      <c r="B197" s="295"/>
      <c r="C197" s="302"/>
      <c r="D197" s="302"/>
      <c r="E197" s="207"/>
      <c r="F197" s="207"/>
      <c r="G197" s="207"/>
      <c r="H197" s="207"/>
      <c r="I197" s="207"/>
      <c r="J197" s="207"/>
      <c r="K197" s="207"/>
      <c r="L197" s="207"/>
      <c r="M197" s="207"/>
      <c r="N197" s="207"/>
      <c r="O197" s="207"/>
      <c r="P197" s="207"/>
      <c r="Q197" s="207"/>
      <c r="R197" s="207"/>
      <c r="S197" s="207"/>
      <c r="T197" s="207"/>
      <c r="U197" s="207"/>
      <c r="V197" s="207"/>
      <c r="W197" s="207"/>
      <c r="X197" s="207"/>
      <c r="Y197" s="207"/>
      <c r="Z197" s="207"/>
      <c r="AA197" s="207"/>
      <c r="AB197" s="207"/>
      <c r="AC197" s="207"/>
      <c r="AD197" s="207"/>
      <c r="AE197" s="207"/>
      <c r="AF197" s="207"/>
      <c r="AG197" s="207"/>
      <c r="AH197" s="207"/>
      <c r="AI197" s="207"/>
      <c r="AJ197" s="207"/>
      <c r="AK197" s="207"/>
      <c r="AL197" s="207"/>
      <c r="AM197" s="207"/>
      <c r="AN197" s="207"/>
      <c r="AO197" s="207"/>
      <c r="AP197" s="207"/>
      <c r="AQ197" s="207"/>
      <c r="AR197" s="207"/>
      <c r="AS197" s="207"/>
      <c r="AT197" s="207"/>
      <c r="AU197" s="207"/>
      <c r="AV197" s="207"/>
      <c r="AW197" s="207"/>
      <c r="AX197" s="207"/>
      <c r="AY197" s="207"/>
      <c r="AZ197" s="207"/>
      <c r="BA197" s="207"/>
      <c r="BB197" s="207"/>
      <c r="BC197" s="207"/>
      <c r="BD197" s="207"/>
      <c r="BE197" s="207"/>
    </row>
    <row r="198" spans="1:57" ht="11.25">
      <c r="A198" s="295"/>
      <c r="B198" s="295"/>
      <c r="C198" s="302"/>
      <c r="D198" s="302"/>
      <c r="E198" s="207"/>
      <c r="F198" s="207"/>
      <c r="G198" s="207"/>
      <c r="H198" s="207"/>
      <c r="I198" s="207"/>
      <c r="J198" s="207"/>
      <c r="K198" s="207"/>
      <c r="L198" s="207"/>
      <c r="M198" s="207"/>
      <c r="N198" s="207"/>
      <c r="O198" s="207"/>
      <c r="P198" s="207"/>
      <c r="Q198" s="207"/>
      <c r="R198" s="207"/>
      <c r="S198" s="207"/>
      <c r="T198" s="207"/>
      <c r="U198" s="207"/>
      <c r="V198" s="207"/>
      <c r="W198" s="207"/>
      <c r="X198" s="207"/>
      <c r="Y198" s="207"/>
      <c r="Z198" s="207"/>
      <c r="AA198" s="207"/>
      <c r="AB198" s="207"/>
      <c r="AC198" s="207"/>
      <c r="AD198" s="207"/>
      <c r="AE198" s="207"/>
      <c r="AF198" s="207"/>
      <c r="AG198" s="207"/>
      <c r="AH198" s="207"/>
      <c r="AI198" s="207"/>
      <c r="AJ198" s="207"/>
      <c r="AK198" s="207"/>
      <c r="AL198" s="207"/>
      <c r="AM198" s="207"/>
      <c r="AN198" s="207"/>
      <c r="AO198" s="207"/>
      <c r="AP198" s="207"/>
      <c r="AQ198" s="207"/>
      <c r="AR198" s="207"/>
      <c r="AS198" s="207"/>
      <c r="AT198" s="207"/>
      <c r="AU198" s="207"/>
      <c r="AV198" s="207"/>
      <c r="AW198" s="207"/>
      <c r="AX198" s="207"/>
      <c r="AY198" s="207"/>
      <c r="AZ198" s="207"/>
      <c r="BA198" s="207"/>
      <c r="BB198" s="207"/>
      <c r="BC198" s="207"/>
      <c r="BD198" s="207"/>
      <c r="BE198" s="207"/>
    </row>
    <row r="199" spans="1:57" ht="11.25">
      <c r="A199" s="295"/>
      <c r="B199" s="295"/>
      <c r="C199" s="302"/>
      <c r="D199" s="302"/>
      <c r="E199" s="207"/>
      <c r="F199" s="207"/>
      <c r="G199" s="207"/>
      <c r="H199" s="207"/>
      <c r="I199" s="207"/>
      <c r="J199" s="207"/>
      <c r="K199" s="207"/>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c r="AH199" s="207"/>
      <c r="AI199" s="207"/>
      <c r="AJ199" s="207"/>
      <c r="AK199" s="207"/>
      <c r="AL199" s="207"/>
      <c r="AM199" s="207"/>
      <c r="AN199" s="207"/>
      <c r="AO199" s="207"/>
      <c r="AP199" s="207"/>
      <c r="AQ199" s="207"/>
      <c r="AR199" s="207"/>
      <c r="AS199" s="207"/>
      <c r="AT199" s="207"/>
      <c r="AU199" s="207"/>
      <c r="AV199" s="207"/>
      <c r="AW199" s="207"/>
      <c r="AX199" s="207"/>
      <c r="AY199" s="207"/>
      <c r="AZ199" s="207"/>
      <c r="BA199" s="207"/>
      <c r="BB199" s="207"/>
      <c r="BC199" s="207"/>
      <c r="BD199" s="207"/>
      <c r="BE199" s="207"/>
    </row>
    <row r="200" spans="1:57" ht="11.25">
      <c r="A200" s="295"/>
      <c r="B200" s="295"/>
      <c r="C200" s="302"/>
      <c r="D200" s="302"/>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07"/>
      <c r="AK200" s="207"/>
      <c r="AL200" s="207"/>
      <c r="AM200" s="207"/>
      <c r="AN200" s="207"/>
      <c r="AO200" s="207"/>
      <c r="AP200" s="207"/>
      <c r="AQ200" s="207"/>
      <c r="AR200" s="207"/>
      <c r="AS200" s="207"/>
      <c r="AT200" s="207"/>
      <c r="AU200" s="207"/>
      <c r="AV200" s="207"/>
      <c r="AW200" s="207"/>
      <c r="AX200" s="207"/>
      <c r="AY200" s="207"/>
      <c r="AZ200" s="207"/>
      <c r="BA200" s="207"/>
      <c r="BB200" s="207"/>
      <c r="BC200" s="207"/>
      <c r="BD200" s="207"/>
      <c r="BE200" s="207"/>
    </row>
    <row r="201" spans="1:57" ht="11.25">
      <c r="A201" s="295"/>
      <c r="B201" s="295"/>
      <c r="C201" s="302"/>
      <c r="D201" s="302"/>
      <c r="E201" s="207"/>
      <c r="F201" s="207"/>
      <c r="G201" s="207"/>
      <c r="H201" s="207"/>
      <c r="I201" s="207"/>
      <c r="J201" s="207"/>
      <c r="K201" s="207"/>
      <c r="L201" s="207"/>
      <c r="M201" s="207"/>
      <c r="N201" s="207"/>
      <c r="O201" s="207"/>
      <c r="P201" s="207"/>
      <c r="Q201" s="207"/>
      <c r="R201" s="207"/>
      <c r="S201" s="207"/>
      <c r="T201" s="207"/>
      <c r="U201" s="207"/>
      <c r="V201" s="207"/>
      <c r="W201" s="207"/>
      <c r="X201" s="207"/>
      <c r="Y201" s="207"/>
      <c r="Z201" s="207"/>
      <c r="AA201" s="207"/>
      <c r="AB201" s="207"/>
      <c r="AC201" s="207"/>
      <c r="AD201" s="207"/>
      <c r="AE201" s="207"/>
      <c r="AF201" s="207"/>
      <c r="AG201" s="207"/>
      <c r="AH201" s="207"/>
      <c r="AI201" s="207"/>
      <c r="AJ201" s="207"/>
      <c r="AK201" s="207"/>
      <c r="AL201" s="207"/>
      <c r="AM201" s="207"/>
      <c r="AN201" s="207"/>
      <c r="AO201" s="207"/>
      <c r="AP201" s="207"/>
      <c r="AQ201" s="207"/>
      <c r="AR201" s="207"/>
      <c r="AS201" s="207"/>
      <c r="AT201" s="207"/>
      <c r="AU201" s="207"/>
      <c r="AV201" s="207"/>
      <c r="AW201" s="207"/>
      <c r="AX201" s="207"/>
      <c r="AY201" s="207"/>
      <c r="AZ201" s="207"/>
      <c r="BA201" s="207"/>
      <c r="BB201" s="207"/>
      <c r="BC201" s="207"/>
      <c r="BD201" s="207"/>
      <c r="BE201" s="207"/>
    </row>
    <row r="202" spans="1:57" ht="11.25">
      <c r="A202" s="295"/>
      <c r="B202" s="295"/>
      <c r="C202" s="302"/>
      <c r="D202" s="302"/>
      <c r="E202" s="207"/>
      <c r="F202" s="207"/>
      <c r="G202" s="207"/>
      <c r="H202" s="207"/>
      <c r="I202" s="207"/>
      <c r="J202" s="207"/>
      <c r="K202" s="207"/>
      <c r="L202" s="207"/>
      <c r="M202" s="207"/>
      <c r="N202" s="207"/>
      <c r="O202" s="207"/>
      <c r="P202" s="207"/>
      <c r="Q202" s="207"/>
      <c r="R202" s="207"/>
      <c r="S202" s="207"/>
      <c r="T202" s="207"/>
      <c r="U202" s="207"/>
      <c r="V202" s="207"/>
      <c r="W202" s="207"/>
      <c r="X202" s="207"/>
      <c r="Y202" s="207"/>
      <c r="Z202" s="207"/>
      <c r="AA202" s="207"/>
      <c r="AB202" s="207"/>
      <c r="AC202" s="207"/>
      <c r="AD202" s="207"/>
      <c r="AE202" s="207"/>
      <c r="AF202" s="207"/>
      <c r="AG202" s="207"/>
      <c r="AH202" s="207"/>
      <c r="AI202" s="207"/>
      <c r="AJ202" s="207"/>
      <c r="AK202" s="207"/>
      <c r="AL202" s="207"/>
      <c r="AM202" s="207"/>
      <c r="AN202" s="207"/>
      <c r="AO202" s="207"/>
      <c r="AP202" s="207"/>
      <c r="AQ202" s="207"/>
      <c r="AR202" s="207"/>
      <c r="AS202" s="207"/>
      <c r="AT202" s="207"/>
      <c r="AU202" s="207"/>
      <c r="AV202" s="207"/>
      <c r="AW202" s="207"/>
      <c r="AX202" s="207"/>
      <c r="AY202" s="207"/>
      <c r="AZ202" s="207"/>
      <c r="BA202" s="207"/>
      <c r="BB202" s="207"/>
      <c r="BC202" s="207"/>
      <c r="BD202" s="207"/>
      <c r="BE202" s="207"/>
    </row>
    <row r="203" spans="1:57" ht="11.25">
      <c r="A203" s="295"/>
      <c r="B203" s="295"/>
      <c r="C203" s="302"/>
      <c r="D203" s="302"/>
      <c r="E203" s="207"/>
      <c r="F203" s="207"/>
      <c r="G203" s="207"/>
      <c r="H203" s="207"/>
      <c r="I203" s="207"/>
      <c r="J203" s="207"/>
      <c r="K203" s="207"/>
      <c r="L203" s="207"/>
      <c r="M203" s="207"/>
      <c r="N203" s="207"/>
      <c r="O203" s="207"/>
      <c r="P203" s="207"/>
      <c r="Q203" s="207"/>
      <c r="R203" s="207"/>
      <c r="S203" s="207"/>
      <c r="T203" s="207"/>
      <c r="U203" s="207"/>
      <c r="V203" s="207"/>
      <c r="W203" s="207"/>
      <c r="X203" s="207"/>
      <c r="Y203" s="207"/>
      <c r="Z203" s="207"/>
      <c r="AA203" s="207"/>
      <c r="AB203" s="207"/>
      <c r="AC203" s="207"/>
      <c r="AD203" s="207"/>
      <c r="AE203" s="207"/>
      <c r="AF203" s="207"/>
      <c r="AG203" s="207"/>
      <c r="AH203" s="207"/>
      <c r="AI203" s="207"/>
      <c r="AJ203" s="207"/>
      <c r="AK203" s="207"/>
      <c r="AL203" s="207"/>
      <c r="AM203" s="207"/>
      <c r="AN203" s="207"/>
      <c r="AO203" s="207"/>
      <c r="AP203" s="207"/>
      <c r="AQ203" s="207"/>
      <c r="AR203" s="207"/>
      <c r="AS203" s="207"/>
      <c r="AT203" s="207"/>
      <c r="AU203" s="207"/>
      <c r="AV203" s="207"/>
      <c r="AW203" s="207"/>
      <c r="AX203" s="207"/>
      <c r="AY203" s="207"/>
      <c r="AZ203" s="207"/>
      <c r="BA203" s="207"/>
      <c r="BB203" s="207"/>
      <c r="BC203" s="207"/>
      <c r="BD203" s="207"/>
      <c r="BE203" s="207"/>
    </row>
    <row r="204" spans="1:57" ht="11.25">
      <c r="A204" s="295"/>
      <c r="B204" s="295"/>
      <c r="C204" s="302"/>
      <c r="D204" s="302"/>
      <c r="E204" s="207"/>
      <c r="F204" s="207"/>
      <c r="G204" s="207"/>
      <c r="H204" s="207"/>
      <c r="I204" s="207"/>
      <c r="J204" s="207"/>
      <c r="K204" s="20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c r="AG204" s="207"/>
      <c r="AH204" s="207"/>
      <c r="AI204" s="207"/>
      <c r="AJ204" s="207"/>
      <c r="AK204" s="207"/>
      <c r="AL204" s="207"/>
      <c r="AM204" s="207"/>
      <c r="AN204" s="207"/>
      <c r="AO204" s="207"/>
      <c r="AP204" s="207"/>
      <c r="AQ204" s="207"/>
      <c r="AR204" s="207"/>
      <c r="AS204" s="207"/>
      <c r="AT204" s="207"/>
      <c r="AU204" s="207"/>
      <c r="AV204" s="207"/>
      <c r="AW204" s="207"/>
      <c r="AX204" s="207"/>
      <c r="AY204" s="207"/>
      <c r="AZ204" s="207"/>
      <c r="BA204" s="207"/>
      <c r="BB204" s="207"/>
      <c r="BC204" s="207"/>
      <c r="BD204" s="207"/>
      <c r="BE204" s="207"/>
    </row>
    <row r="205" spans="1:57" ht="11.25">
      <c r="A205" s="295"/>
      <c r="B205" s="295"/>
      <c r="C205" s="302"/>
      <c r="D205" s="302"/>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207"/>
      <c r="AH205" s="207"/>
      <c r="AI205" s="207"/>
      <c r="AJ205" s="207"/>
      <c r="AK205" s="207"/>
      <c r="AL205" s="207"/>
      <c r="AM205" s="207"/>
      <c r="AN205" s="207"/>
      <c r="AO205" s="207"/>
      <c r="AP205" s="207"/>
      <c r="AQ205" s="207"/>
      <c r="AR205" s="207"/>
      <c r="AS205" s="207"/>
      <c r="AT205" s="207"/>
      <c r="AU205" s="207"/>
      <c r="AV205" s="207"/>
      <c r="AW205" s="207"/>
      <c r="AX205" s="207"/>
      <c r="AY205" s="207"/>
      <c r="AZ205" s="207"/>
      <c r="BA205" s="207"/>
      <c r="BB205" s="207"/>
      <c r="BC205" s="207"/>
      <c r="BD205" s="207"/>
      <c r="BE205" s="207"/>
    </row>
    <row r="206" spans="1:57" ht="11.25">
      <c r="A206" s="295"/>
      <c r="B206" s="295"/>
      <c r="C206" s="302"/>
      <c r="D206" s="302"/>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c r="AM206" s="207"/>
      <c r="AN206" s="207"/>
      <c r="AO206" s="207"/>
      <c r="AP206" s="207"/>
      <c r="AQ206" s="207"/>
      <c r="AR206" s="207"/>
      <c r="AS206" s="207"/>
      <c r="AT206" s="207"/>
      <c r="AU206" s="207"/>
      <c r="AV206" s="207"/>
      <c r="AW206" s="207"/>
      <c r="AX206" s="207"/>
      <c r="AY206" s="207"/>
      <c r="AZ206" s="207"/>
      <c r="BA206" s="207"/>
      <c r="BB206" s="207"/>
      <c r="BC206" s="207"/>
      <c r="BD206" s="207"/>
      <c r="BE206" s="207"/>
    </row>
    <row r="207" spans="1:57" ht="11.25">
      <c r="A207" s="295"/>
      <c r="B207" s="295"/>
      <c r="C207" s="302"/>
      <c r="D207" s="302"/>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K207" s="207"/>
      <c r="AL207" s="207"/>
      <c r="AM207" s="207"/>
      <c r="AN207" s="207"/>
      <c r="AO207" s="207"/>
      <c r="AP207" s="207"/>
      <c r="AQ207" s="207"/>
      <c r="AR207" s="207"/>
      <c r="AS207" s="207"/>
      <c r="AT207" s="207"/>
      <c r="AU207" s="207"/>
      <c r="AV207" s="207"/>
      <c r="AW207" s="207"/>
      <c r="AX207" s="207"/>
      <c r="AY207" s="207"/>
      <c r="AZ207" s="207"/>
      <c r="BA207" s="207"/>
      <c r="BB207" s="207"/>
      <c r="BC207" s="207"/>
      <c r="BD207" s="207"/>
      <c r="BE207" s="207"/>
    </row>
    <row r="208" spans="1:57" ht="11.25">
      <c r="A208" s="295"/>
      <c r="B208" s="295"/>
      <c r="C208" s="302"/>
      <c r="D208" s="302"/>
      <c r="E208" s="207"/>
      <c r="F208" s="207"/>
      <c r="G208" s="207"/>
      <c r="H208" s="207"/>
      <c r="I208" s="207"/>
      <c r="J208" s="207"/>
      <c r="K208" s="207"/>
      <c r="L208" s="207"/>
      <c r="M208" s="207"/>
      <c r="N208" s="207"/>
      <c r="O208" s="207"/>
      <c r="P208" s="207"/>
      <c r="Q208" s="207"/>
      <c r="R208" s="207"/>
      <c r="S208" s="207"/>
      <c r="T208" s="207"/>
      <c r="U208" s="207"/>
      <c r="V208" s="207"/>
      <c r="W208" s="207"/>
      <c r="X208" s="207"/>
      <c r="Y208" s="207"/>
      <c r="Z208" s="207"/>
      <c r="AA208" s="207"/>
      <c r="AB208" s="207"/>
      <c r="AC208" s="207"/>
      <c r="AD208" s="207"/>
      <c r="AE208" s="207"/>
      <c r="AF208" s="207"/>
      <c r="AG208" s="207"/>
      <c r="AH208" s="207"/>
      <c r="AI208" s="207"/>
      <c r="AJ208" s="207"/>
      <c r="AK208" s="207"/>
      <c r="AL208" s="207"/>
      <c r="AM208" s="207"/>
      <c r="AN208" s="207"/>
      <c r="AO208" s="207"/>
      <c r="AP208" s="207"/>
      <c r="AQ208" s="207"/>
      <c r="AR208" s="207"/>
      <c r="AS208" s="207"/>
      <c r="AT208" s="207"/>
      <c r="AU208" s="207"/>
      <c r="AV208" s="207"/>
      <c r="AW208" s="207"/>
      <c r="AX208" s="207"/>
      <c r="AY208" s="207"/>
      <c r="AZ208" s="207"/>
      <c r="BA208" s="207"/>
      <c r="BB208" s="207"/>
      <c r="BC208" s="207"/>
      <c r="BD208" s="207"/>
      <c r="BE208" s="207"/>
    </row>
    <row r="209" spans="1:57" ht="11.25">
      <c r="A209" s="295"/>
      <c r="B209" s="295"/>
      <c r="C209" s="302"/>
      <c r="D209" s="302"/>
      <c r="E209" s="207"/>
      <c r="F209" s="207"/>
      <c r="G209" s="207"/>
      <c r="H209" s="207"/>
      <c r="I209" s="207"/>
      <c r="J209" s="207"/>
      <c r="K209" s="207"/>
      <c r="L209" s="207"/>
      <c r="M209" s="207"/>
      <c r="N209" s="207"/>
      <c r="O209" s="207"/>
      <c r="P209" s="207"/>
      <c r="Q209" s="207"/>
      <c r="R209" s="207"/>
      <c r="S209" s="207"/>
      <c r="T209" s="207"/>
      <c r="U209" s="207"/>
      <c r="V209" s="207"/>
      <c r="W209" s="207"/>
      <c r="X209" s="207"/>
      <c r="Y209" s="207"/>
      <c r="Z209" s="207"/>
      <c r="AA209" s="207"/>
      <c r="AB209" s="207"/>
      <c r="AC209" s="207"/>
      <c r="AD209" s="207"/>
      <c r="AE209" s="207"/>
      <c r="AF209" s="207"/>
      <c r="AG209" s="207"/>
      <c r="AH209" s="207"/>
      <c r="AI209" s="207"/>
      <c r="AJ209" s="207"/>
      <c r="AK209" s="207"/>
      <c r="AL209" s="207"/>
      <c r="AM209" s="207"/>
      <c r="AN209" s="207"/>
      <c r="AO209" s="207"/>
      <c r="AP209" s="207"/>
      <c r="AQ209" s="207"/>
      <c r="AR209" s="207"/>
      <c r="AS209" s="207"/>
      <c r="AT209" s="207"/>
      <c r="AU209" s="207"/>
      <c r="AV209" s="207"/>
      <c r="AW209" s="207"/>
      <c r="AX209" s="207"/>
      <c r="AY209" s="207"/>
      <c r="AZ209" s="207"/>
      <c r="BA209" s="207"/>
      <c r="BB209" s="207"/>
      <c r="BC209" s="207"/>
      <c r="BD209" s="207"/>
      <c r="BE209" s="207"/>
    </row>
    <row r="210" spans="1:57" ht="11.25">
      <c r="A210" s="295"/>
      <c r="B210" s="295"/>
      <c r="C210" s="302"/>
      <c r="D210" s="302"/>
      <c r="E210" s="207"/>
      <c r="F210" s="207"/>
      <c r="G210" s="207"/>
      <c r="H210" s="207"/>
      <c r="I210" s="207"/>
      <c r="J210" s="207"/>
      <c r="K210" s="207"/>
      <c r="L210" s="207"/>
      <c r="M210" s="207"/>
      <c r="N210" s="207"/>
      <c r="O210" s="207"/>
      <c r="P210" s="207"/>
      <c r="Q210" s="207"/>
      <c r="R210" s="207"/>
      <c r="S210" s="207"/>
      <c r="T210" s="207"/>
      <c r="U210" s="207"/>
      <c r="V210" s="207"/>
      <c r="W210" s="207"/>
      <c r="X210" s="207"/>
      <c r="Y210" s="207"/>
      <c r="Z210" s="207"/>
      <c r="AA210" s="207"/>
      <c r="AB210" s="207"/>
      <c r="AC210" s="207"/>
      <c r="AD210" s="207"/>
      <c r="AE210" s="207"/>
      <c r="AF210" s="207"/>
      <c r="AG210" s="207"/>
      <c r="AH210" s="207"/>
      <c r="AI210" s="207"/>
      <c r="AJ210" s="207"/>
      <c r="AK210" s="207"/>
      <c r="AL210" s="207"/>
      <c r="AM210" s="207"/>
      <c r="AN210" s="207"/>
      <c r="AO210" s="207"/>
      <c r="AP210" s="207"/>
      <c r="AQ210" s="207"/>
      <c r="AR210" s="207"/>
      <c r="AS210" s="207"/>
      <c r="AT210" s="207"/>
      <c r="AU210" s="207"/>
      <c r="AV210" s="207"/>
      <c r="AW210" s="207"/>
      <c r="AX210" s="207"/>
      <c r="AY210" s="207"/>
      <c r="AZ210" s="207"/>
      <c r="BA210" s="207"/>
      <c r="BB210" s="207"/>
      <c r="BC210" s="207"/>
      <c r="BD210" s="207"/>
      <c r="BE210" s="207"/>
    </row>
    <row r="211" spans="1:57" ht="11.25">
      <c r="A211" s="295"/>
      <c r="B211" s="295"/>
      <c r="C211" s="302"/>
      <c r="D211" s="302"/>
      <c r="E211" s="207"/>
      <c r="F211" s="207"/>
      <c r="G211" s="207"/>
      <c r="H211" s="207"/>
      <c r="I211" s="207"/>
      <c r="J211" s="207"/>
      <c r="K211" s="207"/>
      <c r="L211" s="207"/>
      <c r="M211" s="207"/>
      <c r="N211" s="207"/>
      <c r="O211" s="207"/>
      <c r="P211" s="207"/>
      <c r="Q211" s="207"/>
      <c r="R211" s="207"/>
      <c r="S211" s="207"/>
      <c r="T211" s="207"/>
      <c r="U211" s="207"/>
      <c r="V211" s="207"/>
      <c r="W211" s="207"/>
      <c r="X211" s="207"/>
      <c r="Y211" s="207"/>
      <c r="Z211" s="207"/>
      <c r="AA211" s="207"/>
      <c r="AB211" s="207"/>
      <c r="AC211" s="207"/>
      <c r="AD211" s="207"/>
      <c r="AE211" s="207"/>
      <c r="AF211" s="207"/>
      <c r="AG211" s="207"/>
      <c r="AH211" s="207"/>
      <c r="AI211" s="207"/>
      <c r="AJ211" s="207"/>
      <c r="AK211" s="207"/>
      <c r="AL211" s="207"/>
      <c r="AM211" s="207"/>
      <c r="AN211" s="207"/>
      <c r="AO211" s="207"/>
      <c r="AP211" s="207"/>
      <c r="AQ211" s="207"/>
      <c r="AR211" s="207"/>
      <c r="AS211" s="207"/>
      <c r="AT211" s="207"/>
      <c r="AU211" s="207"/>
      <c r="AV211" s="207"/>
      <c r="AW211" s="207"/>
      <c r="AX211" s="207"/>
      <c r="AY211" s="207"/>
      <c r="AZ211" s="207"/>
      <c r="BA211" s="207"/>
      <c r="BB211" s="207"/>
      <c r="BC211" s="207"/>
      <c r="BD211" s="207"/>
      <c r="BE211" s="207"/>
    </row>
    <row r="212" spans="1:57" ht="11.25">
      <c r="A212" s="295"/>
      <c r="B212" s="295"/>
      <c r="C212" s="302"/>
      <c r="D212" s="302"/>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207"/>
      <c r="AK212" s="207"/>
      <c r="AL212" s="207"/>
      <c r="AM212" s="207"/>
      <c r="AN212" s="207"/>
      <c r="AO212" s="207"/>
      <c r="AP212" s="207"/>
      <c r="AQ212" s="207"/>
      <c r="AR212" s="207"/>
      <c r="AS212" s="207"/>
      <c r="AT212" s="207"/>
      <c r="AU212" s="207"/>
      <c r="AV212" s="207"/>
      <c r="AW212" s="207"/>
      <c r="AX212" s="207"/>
      <c r="AY212" s="207"/>
      <c r="AZ212" s="207"/>
      <c r="BA212" s="207"/>
      <c r="BB212" s="207"/>
      <c r="BC212" s="207"/>
      <c r="BD212" s="207"/>
      <c r="BE212" s="207"/>
    </row>
    <row r="213" spans="1:57" ht="11.25">
      <c r="A213" s="295"/>
      <c r="B213" s="295"/>
      <c r="C213" s="302"/>
      <c r="D213" s="302"/>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207"/>
      <c r="AK213" s="207"/>
      <c r="AL213" s="207"/>
      <c r="AM213" s="207"/>
      <c r="AN213" s="207"/>
      <c r="AO213" s="207"/>
      <c r="AP213" s="207"/>
      <c r="AQ213" s="207"/>
      <c r="AR213" s="207"/>
      <c r="AS213" s="207"/>
      <c r="AT213" s="207"/>
      <c r="AU213" s="207"/>
      <c r="AV213" s="207"/>
      <c r="AW213" s="207"/>
      <c r="AX213" s="207"/>
      <c r="AY213" s="207"/>
      <c r="AZ213" s="207"/>
      <c r="BA213" s="207"/>
      <c r="BB213" s="207"/>
      <c r="BC213" s="207"/>
      <c r="BD213" s="207"/>
      <c r="BE213" s="207"/>
    </row>
    <row r="214" spans="1:57" ht="11.25">
      <c r="A214" s="295"/>
      <c r="B214" s="295"/>
      <c r="C214" s="302"/>
      <c r="D214" s="302"/>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07"/>
      <c r="AK214" s="207"/>
      <c r="AL214" s="207"/>
      <c r="AM214" s="207"/>
      <c r="AN214" s="207"/>
      <c r="AO214" s="207"/>
      <c r="AP214" s="207"/>
      <c r="AQ214" s="207"/>
      <c r="AR214" s="207"/>
      <c r="AS214" s="207"/>
      <c r="AT214" s="207"/>
      <c r="AU214" s="207"/>
      <c r="AV214" s="207"/>
      <c r="AW214" s="207"/>
      <c r="AX214" s="207"/>
      <c r="AY214" s="207"/>
      <c r="AZ214" s="207"/>
      <c r="BA214" s="207"/>
      <c r="BB214" s="207"/>
      <c r="BC214" s="207"/>
      <c r="BD214" s="207"/>
      <c r="BE214" s="207"/>
    </row>
    <row r="215" spans="1:57" ht="11.25">
      <c r="A215" s="295"/>
      <c r="B215" s="295"/>
      <c r="C215" s="302"/>
      <c r="D215" s="302"/>
      <c r="E215" s="207"/>
      <c r="F215" s="207"/>
      <c r="G215" s="207"/>
      <c r="H215" s="207"/>
      <c r="I215" s="207"/>
      <c r="J215" s="207"/>
      <c r="K215" s="207"/>
      <c r="L215" s="207"/>
      <c r="M215" s="207"/>
      <c r="N215" s="207"/>
      <c r="O215" s="207"/>
      <c r="P215" s="207"/>
      <c r="Q215" s="207"/>
      <c r="R215" s="207"/>
      <c r="S215" s="207"/>
      <c r="T215" s="207"/>
      <c r="U215" s="207"/>
      <c r="V215" s="207"/>
      <c r="W215" s="207"/>
      <c r="X215" s="207"/>
      <c r="Y215" s="207"/>
      <c r="Z215" s="207"/>
      <c r="AA215" s="207"/>
      <c r="AB215" s="207"/>
      <c r="AC215" s="207"/>
      <c r="AD215" s="207"/>
      <c r="AE215" s="207"/>
      <c r="AF215" s="207"/>
      <c r="AG215" s="207"/>
      <c r="AH215" s="207"/>
      <c r="AI215" s="207"/>
      <c r="AJ215" s="207"/>
      <c r="AK215" s="207"/>
      <c r="AL215" s="207"/>
      <c r="AM215" s="207"/>
      <c r="AN215" s="207"/>
      <c r="AO215" s="207"/>
      <c r="AP215" s="207"/>
      <c r="AQ215" s="207"/>
      <c r="AR215" s="207"/>
      <c r="AS215" s="207"/>
      <c r="AT215" s="207"/>
      <c r="AU215" s="207"/>
      <c r="AV215" s="207"/>
      <c r="AW215" s="207"/>
      <c r="AX215" s="207"/>
      <c r="AY215" s="207"/>
      <c r="AZ215" s="207"/>
      <c r="BA215" s="207"/>
      <c r="BB215" s="207"/>
      <c r="BC215" s="207"/>
      <c r="BD215" s="207"/>
      <c r="BE215" s="207"/>
    </row>
    <row r="216" spans="1:57" ht="11.25">
      <c r="A216" s="295"/>
      <c r="B216" s="295"/>
      <c r="C216" s="302"/>
      <c r="D216" s="302"/>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c r="AA216" s="207"/>
      <c r="AB216" s="207"/>
      <c r="AC216" s="207"/>
      <c r="AD216" s="207"/>
      <c r="AE216" s="207"/>
      <c r="AF216" s="207"/>
      <c r="AG216" s="207"/>
      <c r="AH216" s="207"/>
      <c r="AI216" s="207"/>
      <c r="AJ216" s="207"/>
      <c r="AK216" s="207"/>
      <c r="AL216" s="207"/>
      <c r="AM216" s="207"/>
      <c r="AN216" s="207"/>
      <c r="AO216" s="207"/>
      <c r="AP216" s="207"/>
      <c r="AQ216" s="207"/>
      <c r="AR216" s="207"/>
      <c r="AS216" s="207"/>
      <c r="AT216" s="207"/>
      <c r="AU216" s="207"/>
      <c r="AV216" s="207"/>
      <c r="AW216" s="207"/>
      <c r="AX216" s="207"/>
      <c r="AY216" s="207"/>
      <c r="AZ216" s="207"/>
      <c r="BA216" s="207"/>
      <c r="BB216" s="207"/>
      <c r="BC216" s="207"/>
      <c r="BD216" s="207"/>
      <c r="BE216" s="207"/>
    </row>
    <row r="217" spans="1:57" ht="11.25">
      <c r="A217" s="295"/>
      <c r="B217" s="295"/>
      <c r="C217" s="302"/>
      <c r="D217" s="302"/>
      <c r="E217" s="207"/>
      <c r="F217" s="207"/>
      <c r="G217" s="207"/>
      <c r="H217" s="207"/>
      <c r="I217" s="207"/>
      <c r="J217" s="207"/>
      <c r="K217" s="207"/>
      <c r="L217" s="207"/>
      <c r="M217" s="207"/>
      <c r="N217" s="207"/>
      <c r="O217" s="207"/>
      <c r="P217" s="207"/>
      <c r="Q217" s="207"/>
      <c r="R217" s="207"/>
      <c r="S217" s="207"/>
      <c r="T217" s="207"/>
      <c r="U217" s="207"/>
      <c r="V217" s="207"/>
      <c r="W217" s="207"/>
      <c r="X217" s="207"/>
      <c r="Y217" s="207"/>
      <c r="Z217" s="207"/>
      <c r="AA217" s="207"/>
      <c r="AB217" s="207"/>
      <c r="AC217" s="207"/>
      <c r="AD217" s="207"/>
      <c r="AE217" s="207"/>
      <c r="AF217" s="207"/>
      <c r="AG217" s="207"/>
      <c r="AH217" s="207"/>
      <c r="AI217" s="207"/>
      <c r="AJ217" s="207"/>
      <c r="AK217" s="207"/>
      <c r="AL217" s="207"/>
      <c r="AM217" s="207"/>
      <c r="AN217" s="207"/>
      <c r="AO217" s="207"/>
      <c r="AP217" s="207"/>
      <c r="AQ217" s="207"/>
      <c r="AR217" s="207"/>
      <c r="AS217" s="207"/>
      <c r="AT217" s="207"/>
      <c r="AU217" s="207"/>
      <c r="AV217" s="207"/>
      <c r="AW217" s="207"/>
      <c r="AX217" s="207"/>
      <c r="AY217" s="207"/>
      <c r="AZ217" s="207"/>
      <c r="BA217" s="207"/>
      <c r="BB217" s="207"/>
      <c r="BC217" s="207"/>
      <c r="BD217" s="207"/>
      <c r="BE217" s="207"/>
    </row>
    <row r="218" spans="1:57" ht="11.25">
      <c r="A218" s="295"/>
      <c r="B218" s="295"/>
      <c r="C218" s="302"/>
      <c r="D218" s="302"/>
      <c r="E218" s="207"/>
      <c r="F218" s="207"/>
      <c r="G218" s="207"/>
      <c r="H218" s="207"/>
      <c r="I218" s="207"/>
      <c r="J218" s="207"/>
      <c r="K218" s="207"/>
      <c r="L218" s="207"/>
      <c r="M218" s="207"/>
      <c r="N218" s="207"/>
      <c r="O218" s="207"/>
      <c r="P218" s="207"/>
      <c r="Q218" s="207"/>
      <c r="R218" s="207"/>
      <c r="S218" s="207"/>
      <c r="T218" s="207"/>
      <c r="U218" s="207"/>
      <c r="V218" s="207"/>
      <c r="W218" s="207"/>
      <c r="X218" s="207"/>
      <c r="Y218" s="207"/>
      <c r="Z218" s="207"/>
      <c r="AA218" s="207"/>
      <c r="AB218" s="207"/>
      <c r="AC218" s="207"/>
      <c r="AD218" s="207"/>
      <c r="AE218" s="207"/>
      <c r="AF218" s="207"/>
      <c r="AG218" s="207"/>
      <c r="AH218" s="207"/>
      <c r="AI218" s="207"/>
      <c r="AJ218" s="207"/>
      <c r="AK218" s="207"/>
      <c r="AL218" s="207"/>
      <c r="AM218" s="207"/>
      <c r="AN218" s="207"/>
      <c r="AO218" s="207"/>
      <c r="AP218" s="207"/>
      <c r="AQ218" s="207"/>
      <c r="AR218" s="207"/>
      <c r="AS218" s="207"/>
      <c r="AT218" s="207"/>
      <c r="AU218" s="207"/>
      <c r="AV218" s="207"/>
      <c r="AW218" s="207"/>
      <c r="AX218" s="207"/>
      <c r="AY218" s="207"/>
      <c r="AZ218" s="207"/>
      <c r="BA218" s="207"/>
      <c r="BB218" s="207"/>
      <c r="BC218" s="207"/>
      <c r="BD218" s="207"/>
      <c r="BE218" s="207"/>
    </row>
    <row r="219" spans="1:57" ht="11.25">
      <c r="A219" s="295"/>
      <c r="B219" s="295"/>
      <c r="C219" s="302"/>
      <c r="D219" s="302"/>
      <c r="E219" s="207"/>
      <c r="F219" s="207"/>
      <c r="G219" s="207"/>
      <c r="H219" s="207"/>
      <c r="I219" s="207"/>
      <c r="J219" s="207"/>
      <c r="K219" s="207"/>
      <c r="L219" s="207"/>
      <c r="M219" s="207"/>
      <c r="N219" s="207"/>
      <c r="O219" s="207"/>
      <c r="P219" s="207"/>
      <c r="Q219" s="207"/>
      <c r="R219" s="207"/>
      <c r="S219" s="207"/>
      <c r="T219" s="207"/>
      <c r="U219" s="207"/>
      <c r="V219" s="207"/>
      <c r="W219" s="207"/>
      <c r="X219" s="207"/>
      <c r="Y219" s="207"/>
      <c r="Z219" s="207"/>
      <c r="AA219" s="207"/>
      <c r="AB219" s="207"/>
      <c r="AC219" s="207"/>
      <c r="AD219" s="207"/>
      <c r="AE219" s="207"/>
      <c r="AF219" s="207"/>
      <c r="AG219" s="207"/>
      <c r="AH219" s="207"/>
      <c r="AI219" s="207"/>
      <c r="AJ219" s="207"/>
      <c r="AK219" s="207"/>
      <c r="AL219" s="207"/>
      <c r="AM219" s="207"/>
      <c r="AN219" s="207"/>
      <c r="AO219" s="207"/>
      <c r="AP219" s="207"/>
      <c r="AQ219" s="207"/>
      <c r="AR219" s="207"/>
      <c r="AS219" s="207"/>
      <c r="AT219" s="207"/>
      <c r="AU219" s="207"/>
      <c r="AV219" s="207"/>
      <c r="AW219" s="207"/>
      <c r="AX219" s="207"/>
      <c r="AY219" s="207"/>
      <c r="AZ219" s="207"/>
      <c r="BA219" s="207"/>
      <c r="BB219" s="207"/>
      <c r="BC219" s="207"/>
      <c r="BD219" s="207"/>
      <c r="BE219" s="207"/>
    </row>
    <row r="220" spans="1:57" ht="11.25">
      <c r="A220" s="295"/>
      <c r="B220" s="295"/>
      <c r="C220" s="302"/>
      <c r="D220" s="302"/>
      <c r="E220" s="207"/>
      <c r="F220" s="207"/>
      <c r="G220" s="207"/>
      <c r="H220" s="207"/>
      <c r="I220" s="207"/>
      <c r="J220" s="207"/>
      <c r="K220" s="207"/>
      <c r="L220" s="207"/>
      <c r="M220" s="207"/>
      <c r="N220" s="207"/>
      <c r="O220" s="207"/>
      <c r="P220" s="207"/>
      <c r="Q220" s="207"/>
      <c r="R220" s="207"/>
      <c r="S220" s="207"/>
      <c r="T220" s="207"/>
      <c r="U220" s="207"/>
      <c r="V220" s="207"/>
      <c r="W220" s="207"/>
      <c r="X220" s="207"/>
      <c r="Y220" s="207"/>
      <c r="Z220" s="207"/>
      <c r="AA220" s="207"/>
      <c r="AB220" s="207"/>
      <c r="AC220" s="207"/>
      <c r="AD220" s="207"/>
      <c r="AE220" s="207"/>
      <c r="AF220" s="207"/>
      <c r="AG220" s="207"/>
      <c r="AH220" s="207"/>
      <c r="AI220" s="207"/>
      <c r="AJ220" s="207"/>
      <c r="AK220" s="207"/>
      <c r="AL220" s="207"/>
      <c r="AM220" s="207"/>
      <c r="AN220" s="207"/>
      <c r="AO220" s="207"/>
      <c r="AP220" s="207"/>
      <c r="AQ220" s="207"/>
      <c r="AR220" s="207"/>
      <c r="AS220" s="207"/>
      <c r="AT220" s="207"/>
      <c r="AU220" s="207"/>
      <c r="AV220" s="207"/>
      <c r="AW220" s="207"/>
      <c r="AX220" s="207"/>
      <c r="AY220" s="207"/>
      <c r="AZ220" s="207"/>
      <c r="BA220" s="207"/>
      <c r="BB220" s="207"/>
      <c r="BC220" s="207"/>
      <c r="BD220" s="207"/>
      <c r="BE220" s="207"/>
    </row>
    <row r="221" spans="1:57" ht="11.25">
      <c r="A221" s="295"/>
      <c r="B221" s="295"/>
      <c r="C221" s="302"/>
      <c r="D221" s="302"/>
      <c r="E221" s="207"/>
      <c r="F221" s="207"/>
      <c r="G221" s="207"/>
      <c r="H221" s="207"/>
      <c r="I221" s="207"/>
      <c r="J221" s="207"/>
      <c r="K221" s="207"/>
      <c r="L221" s="207"/>
      <c r="M221" s="207"/>
      <c r="N221" s="207"/>
      <c r="O221" s="207"/>
      <c r="P221" s="207"/>
      <c r="Q221" s="207"/>
      <c r="R221" s="207"/>
      <c r="S221" s="207"/>
      <c r="T221" s="207"/>
      <c r="U221" s="207"/>
      <c r="V221" s="207"/>
      <c r="W221" s="207"/>
      <c r="X221" s="207"/>
      <c r="Y221" s="207"/>
      <c r="Z221" s="207"/>
      <c r="AA221" s="207"/>
      <c r="AB221" s="207"/>
      <c r="AC221" s="207"/>
      <c r="AD221" s="207"/>
      <c r="AE221" s="207"/>
      <c r="AF221" s="207"/>
      <c r="AG221" s="207"/>
      <c r="AH221" s="207"/>
      <c r="AI221" s="207"/>
      <c r="AJ221" s="207"/>
      <c r="AK221" s="207"/>
      <c r="AL221" s="207"/>
      <c r="AM221" s="207"/>
      <c r="AN221" s="207"/>
      <c r="AO221" s="207"/>
      <c r="AP221" s="207"/>
      <c r="AQ221" s="207"/>
      <c r="AR221" s="207"/>
      <c r="AS221" s="207"/>
      <c r="AT221" s="207"/>
      <c r="AU221" s="207"/>
      <c r="AV221" s="207"/>
      <c r="AW221" s="207"/>
      <c r="AX221" s="207"/>
      <c r="AY221" s="207"/>
      <c r="AZ221" s="207"/>
      <c r="BA221" s="207"/>
      <c r="BB221" s="207"/>
      <c r="BC221" s="207"/>
      <c r="BD221" s="207"/>
      <c r="BE221" s="207"/>
    </row>
    <row r="222" spans="1:57" ht="11.25">
      <c r="A222" s="295"/>
      <c r="B222" s="295"/>
      <c r="C222" s="302"/>
      <c r="D222" s="302"/>
      <c r="E222" s="207"/>
      <c r="F222" s="207"/>
      <c r="G222" s="207"/>
      <c r="H222" s="207"/>
      <c r="I222" s="207"/>
      <c r="J222" s="207"/>
      <c r="K222" s="207"/>
      <c r="L222" s="207"/>
      <c r="M222" s="207"/>
      <c r="N222" s="207"/>
      <c r="O222" s="207"/>
      <c r="P222" s="207"/>
      <c r="Q222" s="207"/>
      <c r="R222" s="207"/>
      <c r="S222" s="207"/>
      <c r="T222" s="207"/>
      <c r="U222" s="207"/>
      <c r="V222" s="207"/>
      <c r="W222" s="207"/>
      <c r="X222" s="207"/>
      <c r="Y222" s="207"/>
      <c r="Z222" s="207"/>
      <c r="AA222" s="207"/>
      <c r="AB222" s="207"/>
      <c r="AC222" s="207"/>
      <c r="AD222" s="207"/>
      <c r="AE222" s="207"/>
      <c r="AF222" s="207"/>
      <c r="AG222" s="207"/>
      <c r="AH222" s="207"/>
      <c r="AI222" s="207"/>
      <c r="AJ222" s="207"/>
      <c r="AK222" s="207"/>
      <c r="AL222" s="207"/>
      <c r="AM222" s="207"/>
      <c r="AN222" s="207"/>
      <c r="AO222" s="207"/>
      <c r="AP222" s="207"/>
      <c r="AQ222" s="207"/>
      <c r="AR222" s="207"/>
      <c r="AS222" s="207"/>
      <c r="AT222" s="207"/>
      <c r="AU222" s="207"/>
      <c r="AV222" s="207"/>
      <c r="AW222" s="207"/>
      <c r="AX222" s="207"/>
      <c r="AY222" s="207"/>
      <c r="AZ222" s="207"/>
      <c r="BA222" s="207"/>
      <c r="BB222" s="207"/>
      <c r="BC222" s="207"/>
      <c r="BD222" s="207"/>
      <c r="BE222" s="207"/>
    </row>
    <row r="223" spans="1:57" ht="11.25">
      <c r="A223" s="295"/>
      <c r="B223" s="295"/>
      <c r="C223" s="302"/>
      <c r="D223" s="302"/>
      <c r="E223" s="207"/>
      <c r="F223" s="207"/>
      <c r="G223" s="207"/>
      <c r="H223" s="207"/>
      <c r="I223" s="207"/>
      <c r="J223" s="207"/>
      <c r="K223" s="207"/>
      <c r="L223" s="207"/>
      <c r="M223" s="207"/>
      <c r="N223" s="207"/>
      <c r="O223" s="207"/>
      <c r="P223" s="207"/>
      <c r="Q223" s="207"/>
      <c r="R223" s="207"/>
      <c r="S223" s="207"/>
      <c r="T223" s="207"/>
      <c r="U223" s="207"/>
      <c r="V223" s="207"/>
      <c r="W223" s="207"/>
      <c r="X223" s="207"/>
      <c r="Y223" s="207"/>
      <c r="Z223" s="207"/>
      <c r="AA223" s="207"/>
      <c r="AB223" s="207"/>
      <c r="AC223" s="207"/>
      <c r="AD223" s="207"/>
      <c r="AE223" s="207"/>
      <c r="AF223" s="207"/>
      <c r="AG223" s="207"/>
      <c r="AH223" s="207"/>
      <c r="AI223" s="207"/>
      <c r="AJ223" s="207"/>
      <c r="AK223" s="207"/>
      <c r="AL223" s="207"/>
      <c r="AM223" s="207"/>
      <c r="AN223" s="207"/>
      <c r="AO223" s="207"/>
      <c r="AP223" s="207"/>
      <c r="AQ223" s="207"/>
      <c r="AR223" s="207"/>
      <c r="AS223" s="207"/>
      <c r="AT223" s="207"/>
      <c r="AU223" s="207"/>
      <c r="AV223" s="207"/>
      <c r="AW223" s="207"/>
      <c r="AX223" s="207"/>
      <c r="AY223" s="207"/>
      <c r="AZ223" s="207"/>
      <c r="BA223" s="207"/>
      <c r="BB223" s="207"/>
      <c r="BC223" s="207"/>
      <c r="BD223" s="207"/>
      <c r="BE223" s="207"/>
    </row>
    <row r="224" spans="1:57" ht="11.25">
      <c r="A224" s="295"/>
      <c r="B224" s="295"/>
      <c r="C224" s="302"/>
      <c r="D224" s="302"/>
      <c r="E224" s="207"/>
      <c r="F224" s="207"/>
      <c r="G224" s="207"/>
      <c r="H224" s="207"/>
      <c r="I224" s="207"/>
      <c r="J224" s="207"/>
      <c r="K224" s="207"/>
      <c r="L224" s="207"/>
      <c r="M224" s="207"/>
      <c r="N224" s="207"/>
      <c r="O224" s="207"/>
      <c r="P224" s="207"/>
      <c r="Q224" s="207"/>
      <c r="R224" s="207"/>
      <c r="S224" s="207"/>
      <c r="T224" s="207"/>
      <c r="U224" s="207"/>
      <c r="V224" s="207"/>
      <c r="W224" s="207"/>
      <c r="X224" s="207"/>
      <c r="Y224" s="207"/>
      <c r="Z224" s="207"/>
      <c r="AA224" s="207"/>
      <c r="AB224" s="207"/>
      <c r="AC224" s="207"/>
      <c r="AD224" s="207"/>
      <c r="AE224" s="207"/>
      <c r="AF224" s="207"/>
      <c r="AG224" s="207"/>
      <c r="AH224" s="207"/>
      <c r="AI224" s="207"/>
      <c r="AJ224" s="207"/>
      <c r="AK224" s="207"/>
      <c r="AL224" s="207"/>
      <c r="AM224" s="207"/>
      <c r="AN224" s="207"/>
      <c r="AO224" s="207"/>
      <c r="AP224" s="207"/>
      <c r="AQ224" s="207"/>
      <c r="AR224" s="207"/>
      <c r="AS224" s="207"/>
      <c r="AT224" s="207"/>
      <c r="AU224" s="207"/>
      <c r="AV224" s="207"/>
      <c r="AW224" s="207"/>
      <c r="AX224" s="207"/>
      <c r="AY224" s="207"/>
      <c r="AZ224" s="207"/>
      <c r="BA224" s="207"/>
      <c r="BB224" s="207"/>
      <c r="BC224" s="207"/>
      <c r="BD224" s="207"/>
      <c r="BE224" s="207"/>
    </row>
    <row r="225" spans="1:57" ht="11.25">
      <c r="A225" s="295"/>
      <c r="B225" s="295"/>
      <c r="C225" s="302"/>
      <c r="D225" s="302"/>
      <c r="E225" s="207"/>
      <c r="F225" s="207"/>
      <c r="G225" s="207"/>
      <c r="H225" s="207"/>
      <c r="I225" s="207"/>
      <c r="J225" s="207"/>
      <c r="K225" s="207"/>
      <c r="L225" s="207"/>
      <c r="M225" s="207"/>
      <c r="N225" s="207"/>
      <c r="O225" s="207"/>
      <c r="P225" s="207"/>
      <c r="Q225" s="207"/>
      <c r="R225" s="207"/>
      <c r="S225" s="207"/>
      <c r="T225" s="207"/>
      <c r="U225" s="207"/>
      <c r="V225" s="207"/>
      <c r="W225" s="207"/>
      <c r="X225" s="207"/>
      <c r="Y225" s="207"/>
      <c r="Z225" s="207"/>
      <c r="AA225" s="207"/>
      <c r="AB225" s="207"/>
      <c r="AC225" s="207"/>
      <c r="AD225" s="207"/>
      <c r="AE225" s="207"/>
      <c r="AF225" s="207"/>
      <c r="AG225" s="207"/>
      <c r="AH225" s="207"/>
      <c r="AI225" s="207"/>
      <c r="AJ225" s="207"/>
      <c r="AK225" s="207"/>
      <c r="AL225" s="207"/>
      <c r="AM225" s="207"/>
      <c r="AN225" s="207"/>
      <c r="AO225" s="207"/>
      <c r="AP225" s="207"/>
      <c r="AQ225" s="207"/>
      <c r="AR225" s="207"/>
      <c r="AS225" s="207"/>
      <c r="AT225" s="207"/>
      <c r="AU225" s="207"/>
      <c r="AV225" s="207"/>
      <c r="AW225" s="207"/>
      <c r="AX225" s="207"/>
      <c r="AY225" s="207"/>
      <c r="AZ225" s="207"/>
      <c r="BA225" s="207"/>
      <c r="BB225" s="207"/>
      <c r="BC225" s="207"/>
      <c r="BD225" s="207"/>
      <c r="BE225" s="207"/>
    </row>
    <row r="226" spans="1:57" ht="11.25">
      <c r="A226" s="295"/>
      <c r="B226" s="295"/>
      <c r="C226" s="302"/>
      <c r="D226" s="302"/>
      <c r="E226" s="207"/>
      <c r="F226" s="207"/>
      <c r="G226" s="207"/>
      <c r="H226" s="207"/>
      <c r="I226" s="207"/>
      <c r="J226" s="207"/>
      <c r="K226" s="207"/>
      <c r="L226" s="207"/>
      <c r="M226" s="207"/>
      <c r="N226" s="207"/>
      <c r="O226" s="207"/>
      <c r="P226" s="207"/>
      <c r="Q226" s="207"/>
      <c r="R226" s="207"/>
      <c r="S226" s="207"/>
      <c r="T226" s="207"/>
      <c r="U226" s="207"/>
      <c r="V226" s="207"/>
      <c r="W226" s="207"/>
      <c r="X226" s="207"/>
      <c r="Y226" s="207"/>
      <c r="Z226" s="207"/>
      <c r="AA226" s="207"/>
      <c r="AB226" s="207"/>
      <c r="AC226" s="207"/>
      <c r="AD226" s="207"/>
      <c r="AE226" s="207"/>
      <c r="AF226" s="207"/>
      <c r="AG226" s="207"/>
      <c r="AH226" s="207"/>
      <c r="AI226" s="207"/>
      <c r="AJ226" s="207"/>
      <c r="AK226" s="207"/>
      <c r="AL226" s="207"/>
      <c r="AM226" s="207"/>
      <c r="AN226" s="207"/>
      <c r="AO226" s="207"/>
      <c r="AP226" s="207"/>
      <c r="AQ226" s="207"/>
      <c r="AR226" s="207"/>
      <c r="AS226" s="207"/>
      <c r="AT226" s="207"/>
      <c r="AU226" s="207"/>
      <c r="AV226" s="207"/>
      <c r="AW226" s="207"/>
      <c r="AX226" s="207"/>
      <c r="AY226" s="207"/>
      <c r="AZ226" s="207"/>
      <c r="BA226" s="207"/>
      <c r="BB226" s="207"/>
      <c r="BC226" s="207"/>
      <c r="BD226" s="207"/>
      <c r="BE226" s="207"/>
    </row>
    <row r="227" spans="1:57" ht="11.25">
      <c r="A227" s="295"/>
      <c r="B227" s="295"/>
      <c r="C227" s="302"/>
      <c r="D227" s="302"/>
      <c r="E227" s="207"/>
      <c r="F227" s="207"/>
      <c r="G227" s="207"/>
      <c r="H227" s="207"/>
      <c r="I227" s="207"/>
      <c r="J227" s="207"/>
      <c r="K227" s="207"/>
      <c r="L227" s="207"/>
      <c r="M227" s="207"/>
      <c r="N227" s="207"/>
      <c r="O227" s="207"/>
      <c r="P227" s="207"/>
      <c r="Q227" s="207"/>
      <c r="R227" s="207"/>
      <c r="S227" s="207"/>
      <c r="T227" s="207"/>
      <c r="U227" s="207"/>
      <c r="V227" s="207"/>
      <c r="W227" s="207"/>
      <c r="X227" s="207"/>
      <c r="Y227" s="207"/>
      <c r="Z227" s="207"/>
      <c r="AA227" s="207"/>
      <c r="AB227" s="207"/>
      <c r="AC227" s="207"/>
      <c r="AD227" s="207"/>
      <c r="AE227" s="207"/>
      <c r="AF227" s="207"/>
      <c r="AG227" s="207"/>
      <c r="AH227" s="207"/>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row>
    <row r="228" spans="1:57" ht="11.25">
      <c r="A228" s="295"/>
      <c r="B228" s="295"/>
      <c r="C228" s="302"/>
      <c r="D228" s="302"/>
      <c r="E228" s="207"/>
      <c r="F228" s="207"/>
      <c r="G228" s="207"/>
      <c r="H228" s="207"/>
      <c r="I228" s="207"/>
      <c r="J228" s="207"/>
      <c r="K228" s="207"/>
      <c r="L228" s="207"/>
      <c r="M228" s="207"/>
      <c r="N228" s="207"/>
      <c r="O228" s="207"/>
      <c r="P228" s="207"/>
      <c r="Q228" s="207"/>
      <c r="R228" s="207"/>
      <c r="S228" s="207"/>
      <c r="T228" s="207"/>
      <c r="U228" s="207"/>
      <c r="V228" s="207"/>
      <c r="W228" s="207"/>
      <c r="X228" s="207"/>
      <c r="Y228" s="207"/>
      <c r="Z228" s="207"/>
      <c r="AA228" s="207"/>
      <c r="AB228" s="207"/>
      <c r="AC228" s="207"/>
      <c r="AD228" s="207"/>
      <c r="AE228" s="207"/>
      <c r="AF228" s="207"/>
      <c r="AG228" s="207"/>
      <c r="AH228" s="207"/>
      <c r="AI228" s="207"/>
      <c r="AJ228" s="207"/>
      <c r="AK228" s="207"/>
      <c r="AL228" s="207"/>
      <c r="AM228" s="207"/>
      <c r="AN228" s="207"/>
      <c r="AO228" s="207"/>
      <c r="AP228" s="207"/>
      <c r="AQ228" s="207"/>
      <c r="AR228" s="207"/>
      <c r="AS228" s="207"/>
      <c r="AT228" s="207"/>
      <c r="AU228" s="207"/>
      <c r="AV228" s="207"/>
      <c r="AW228" s="207"/>
      <c r="AX228" s="207"/>
      <c r="AY228" s="207"/>
      <c r="AZ228" s="207"/>
      <c r="BA228" s="207"/>
      <c r="BB228" s="207"/>
      <c r="BC228" s="207"/>
      <c r="BD228" s="207"/>
      <c r="BE228" s="207"/>
    </row>
    <row r="229" spans="1:57" ht="11.25">
      <c r="A229" s="295"/>
      <c r="B229" s="295"/>
      <c r="C229" s="302"/>
      <c r="D229" s="302"/>
      <c r="E229" s="207"/>
      <c r="F229" s="207"/>
      <c r="G229" s="207"/>
      <c r="H229" s="207"/>
      <c r="I229" s="207"/>
      <c r="J229" s="207"/>
      <c r="K229" s="207"/>
      <c r="L229" s="207"/>
      <c r="M229" s="207"/>
      <c r="N229" s="207"/>
      <c r="O229" s="207"/>
      <c r="P229" s="207"/>
      <c r="Q229" s="207"/>
      <c r="R229" s="207"/>
      <c r="S229" s="207"/>
      <c r="T229" s="207"/>
      <c r="U229" s="207"/>
      <c r="V229" s="207"/>
      <c r="W229" s="207"/>
      <c r="X229" s="207"/>
      <c r="Y229" s="207"/>
      <c r="Z229" s="207"/>
      <c r="AA229" s="207"/>
      <c r="AB229" s="207"/>
      <c r="AC229" s="207"/>
      <c r="AD229" s="207"/>
      <c r="AE229" s="207"/>
      <c r="AF229" s="207"/>
      <c r="AG229" s="207"/>
      <c r="AH229" s="207"/>
      <c r="AI229" s="207"/>
      <c r="AJ229" s="207"/>
      <c r="AK229" s="207"/>
      <c r="AL229" s="207"/>
      <c r="AM229" s="207"/>
      <c r="AN229" s="207"/>
      <c r="AO229" s="207"/>
      <c r="AP229" s="207"/>
      <c r="AQ229" s="207"/>
      <c r="AR229" s="207"/>
      <c r="AS229" s="207"/>
      <c r="AT229" s="207"/>
      <c r="AU229" s="207"/>
      <c r="AV229" s="207"/>
      <c r="AW229" s="207"/>
      <c r="AX229" s="207"/>
      <c r="AY229" s="207"/>
      <c r="AZ229" s="207"/>
      <c r="BA229" s="207"/>
      <c r="BB229" s="207"/>
      <c r="BC229" s="207"/>
      <c r="BD229" s="207"/>
      <c r="BE229" s="207"/>
    </row>
    <row r="230" spans="1:57" ht="11.25">
      <c r="A230" s="295"/>
      <c r="B230" s="295"/>
      <c r="C230" s="302"/>
      <c r="D230" s="302"/>
      <c r="E230" s="207"/>
      <c r="F230" s="207"/>
      <c r="G230" s="207"/>
      <c r="H230" s="207"/>
      <c r="I230" s="207"/>
      <c r="J230" s="207"/>
      <c r="K230" s="207"/>
      <c r="L230" s="207"/>
      <c r="M230" s="207"/>
      <c r="N230" s="207"/>
      <c r="O230" s="207"/>
      <c r="P230" s="207"/>
      <c r="Q230" s="207"/>
      <c r="R230" s="207"/>
      <c r="S230" s="207"/>
      <c r="T230" s="207"/>
      <c r="U230" s="207"/>
      <c r="V230" s="207"/>
      <c r="W230" s="207"/>
      <c r="X230" s="207"/>
      <c r="Y230" s="207"/>
      <c r="Z230" s="207"/>
      <c r="AA230" s="207"/>
      <c r="AB230" s="207"/>
      <c r="AC230" s="207"/>
      <c r="AD230" s="207"/>
      <c r="AE230" s="207"/>
      <c r="AF230" s="207"/>
      <c r="AG230" s="207"/>
      <c r="AH230" s="207"/>
      <c r="AI230" s="207"/>
      <c r="AJ230" s="207"/>
      <c r="AK230" s="207"/>
      <c r="AL230" s="207"/>
      <c r="AM230" s="207"/>
      <c r="AN230" s="207"/>
      <c r="AO230" s="207"/>
      <c r="AP230" s="207"/>
      <c r="AQ230" s="207"/>
      <c r="AR230" s="207"/>
      <c r="AS230" s="207"/>
      <c r="AT230" s="207"/>
      <c r="AU230" s="207"/>
      <c r="AV230" s="207"/>
      <c r="AW230" s="207"/>
      <c r="AX230" s="207"/>
      <c r="AY230" s="207"/>
      <c r="AZ230" s="207"/>
      <c r="BA230" s="207"/>
      <c r="BB230" s="207"/>
      <c r="BC230" s="207"/>
      <c r="BD230" s="207"/>
      <c r="BE230" s="207"/>
    </row>
    <row r="231" spans="1:57" ht="11.25">
      <c r="A231" s="295"/>
      <c r="B231" s="295"/>
      <c r="C231" s="302"/>
      <c r="D231" s="302"/>
      <c r="E231" s="207"/>
      <c r="F231" s="207"/>
      <c r="G231" s="207"/>
      <c r="H231" s="207"/>
      <c r="I231" s="207"/>
      <c r="J231" s="207"/>
      <c r="K231" s="207"/>
      <c r="L231" s="207"/>
      <c r="M231" s="207"/>
      <c r="N231" s="207"/>
      <c r="O231" s="207"/>
      <c r="P231" s="207"/>
      <c r="Q231" s="207"/>
      <c r="R231" s="207"/>
      <c r="S231" s="207"/>
      <c r="T231" s="207"/>
      <c r="U231" s="207"/>
      <c r="V231" s="207"/>
      <c r="W231" s="207"/>
      <c r="X231" s="207"/>
      <c r="Y231" s="207"/>
      <c r="Z231" s="207"/>
      <c r="AA231" s="207"/>
      <c r="AB231" s="207"/>
      <c r="AC231" s="207"/>
      <c r="AD231" s="207"/>
      <c r="AE231" s="207"/>
      <c r="AF231" s="207"/>
      <c r="AG231" s="207"/>
      <c r="AH231" s="207"/>
      <c r="AI231" s="207"/>
      <c r="AJ231" s="207"/>
      <c r="AK231" s="207"/>
      <c r="AL231" s="207"/>
      <c r="AM231" s="207"/>
      <c r="AN231" s="207"/>
      <c r="AO231" s="207"/>
      <c r="AP231" s="207"/>
      <c r="AQ231" s="207"/>
      <c r="AR231" s="207"/>
      <c r="AS231" s="207"/>
      <c r="AT231" s="207"/>
      <c r="AU231" s="207"/>
      <c r="AV231" s="207"/>
      <c r="AW231" s="207"/>
      <c r="AX231" s="207"/>
      <c r="AY231" s="207"/>
      <c r="AZ231" s="207"/>
      <c r="BA231" s="207"/>
      <c r="BB231" s="207"/>
      <c r="BC231" s="207"/>
      <c r="BD231" s="207"/>
      <c r="BE231" s="207"/>
    </row>
    <row r="232" spans="1:57" ht="11.25">
      <c r="A232" s="295"/>
      <c r="B232" s="295"/>
      <c r="C232" s="302"/>
      <c r="D232" s="302"/>
      <c r="E232" s="207"/>
      <c r="F232" s="207"/>
      <c r="G232" s="207"/>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7"/>
      <c r="AY232" s="207"/>
      <c r="AZ232" s="207"/>
      <c r="BA232" s="207"/>
      <c r="BB232" s="207"/>
      <c r="BC232" s="207"/>
      <c r="BD232" s="207"/>
      <c r="BE232" s="207"/>
    </row>
    <row r="233" spans="1:57" ht="11.25">
      <c r="A233" s="295"/>
      <c r="B233" s="295"/>
      <c r="C233" s="302"/>
      <c r="D233" s="302"/>
      <c r="E233" s="207"/>
      <c r="F233" s="207"/>
      <c r="G233" s="207"/>
      <c r="H233" s="207"/>
      <c r="I233" s="207"/>
      <c r="J233" s="207"/>
      <c r="K233" s="207"/>
      <c r="L233" s="207"/>
      <c r="M233" s="207"/>
      <c r="N233" s="207"/>
      <c r="O233" s="207"/>
      <c r="P233" s="207"/>
      <c r="Q233" s="207"/>
      <c r="R233" s="207"/>
      <c r="S233" s="207"/>
      <c r="T233" s="207"/>
      <c r="U233" s="207"/>
      <c r="V233" s="207"/>
      <c r="W233" s="207"/>
      <c r="X233" s="207"/>
      <c r="Y233" s="207"/>
      <c r="Z233" s="207"/>
      <c r="AA233" s="207"/>
      <c r="AB233" s="207"/>
      <c r="AC233" s="207"/>
      <c r="AD233" s="207"/>
      <c r="AE233" s="207"/>
      <c r="AF233" s="207"/>
      <c r="AG233" s="207"/>
      <c r="AH233" s="207"/>
      <c r="AI233" s="207"/>
      <c r="AJ233" s="207"/>
      <c r="AK233" s="207"/>
      <c r="AL233" s="207"/>
      <c r="AM233" s="207"/>
      <c r="AN233" s="207"/>
      <c r="AO233" s="207"/>
      <c r="AP233" s="207"/>
      <c r="AQ233" s="207"/>
      <c r="AR233" s="207"/>
      <c r="AS233" s="207"/>
      <c r="AT233" s="207"/>
      <c r="AU233" s="207"/>
      <c r="AV233" s="207"/>
      <c r="AW233" s="207"/>
      <c r="AX233" s="207"/>
      <c r="AY233" s="207"/>
      <c r="AZ233" s="207"/>
      <c r="BA233" s="207"/>
      <c r="BB233" s="207"/>
      <c r="BC233" s="207"/>
      <c r="BD233" s="207"/>
      <c r="BE233" s="207"/>
    </row>
    <row r="234" spans="1:57" ht="11.25">
      <c r="A234" s="295"/>
      <c r="B234" s="295"/>
      <c r="C234" s="302"/>
      <c r="D234" s="302"/>
      <c r="E234" s="207"/>
      <c r="F234" s="207"/>
      <c r="G234" s="207"/>
      <c r="H234" s="207"/>
      <c r="I234" s="207"/>
      <c r="J234" s="207"/>
      <c r="K234" s="207"/>
      <c r="L234" s="207"/>
      <c r="M234" s="207"/>
      <c r="N234" s="207"/>
      <c r="O234" s="207"/>
      <c r="P234" s="207"/>
      <c r="Q234" s="207"/>
      <c r="R234" s="207"/>
      <c r="S234" s="207"/>
      <c r="T234" s="207"/>
      <c r="U234" s="207"/>
      <c r="V234" s="207"/>
      <c r="W234" s="207"/>
      <c r="X234" s="207"/>
      <c r="Y234" s="207"/>
      <c r="Z234" s="207"/>
      <c r="AA234" s="207"/>
      <c r="AB234" s="207"/>
      <c r="AC234" s="207"/>
      <c r="AD234" s="207"/>
      <c r="AE234" s="207"/>
      <c r="AF234" s="207"/>
      <c r="AG234" s="207"/>
      <c r="AH234" s="207"/>
      <c r="AI234" s="207"/>
      <c r="AJ234" s="207"/>
      <c r="AK234" s="207"/>
      <c r="AL234" s="207"/>
      <c r="AM234" s="207"/>
      <c r="AN234" s="207"/>
      <c r="AO234" s="207"/>
      <c r="AP234" s="207"/>
      <c r="AQ234" s="207"/>
      <c r="AR234" s="207"/>
      <c r="AS234" s="207"/>
      <c r="AT234" s="207"/>
      <c r="AU234" s="207"/>
      <c r="AV234" s="207"/>
      <c r="AW234" s="207"/>
      <c r="AX234" s="207"/>
      <c r="AY234" s="207"/>
      <c r="AZ234" s="207"/>
      <c r="BA234" s="207"/>
      <c r="BB234" s="207"/>
      <c r="BC234" s="207"/>
      <c r="BD234" s="207"/>
      <c r="BE234" s="207"/>
    </row>
    <row r="235" spans="1:57" ht="11.25">
      <c r="A235" s="295"/>
      <c r="B235" s="295"/>
      <c r="C235" s="302"/>
      <c r="D235" s="302"/>
      <c r="E235" s="207"/>
      <c r="F235" s="207"/>
      <c r="G235" s="207"/>
      <c r="H235" s="207"/>
      <c r="I235" s="207"/>
      <c r="J235" s="207"/>
      <c r="K235" s="207"/>
      <c r="L235" s="207"/>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c r="AO235" s="207"/>
      <c r="AP235" s="207"/>
      <c r="AQ235" s="207"/>
      <c r="AR235" s="207"/>
      <c r="AS235" s="207"/>
      <c r="AT235" s="207"/>
      <c r="AU235" s="207"/>
      <c r="AV235" s="207"/>
      <c r="AW235" s="207"/>
      <c r="AX235" s="207"/>
      <c r="AY235" s="207"/>
      <c r="AZ235" s="207"/>
      <c r="BA235" s="207"/>
      <c r="BB235" s="207"/>
      <c r="BC235" s="207"/>
      <c r="BD235" s="207"/>
      <c r="BE235" s="207"/>
    </row>
  </sheetData>
  <sheetProtection/>
  <autoFilter ref="A49:BG79"/>
  <mergeCells count="33">
    <mergeCell ref="A1:BA1"/>
    <mergeCell ref="A2:A3"/>
    <mergeCell ref="B2:B3"/>
    <mergeCell ref="C2:C3"/>
    <mergeCell ref="D2:D3"/>
    <mergeCell ref="E2:E3"/>
    <mergeCell ref="F2:F3"/>
    <mergeCell ref="G2:G3"/>
    <mergeCell ref="H2:H3"/>
    <mergeCell ref="I2:I3"/>
    <mergeCell ref="J2:J3"/>
    <mergeCell ref="K2:K3"/>
    <mergeCell ref="L2:L3"/>
    <mergeCell ref="M2:M3"/>
    <mergeCell ref="N2:N3"/>
    <mergeCell ref="AK2:AU2"/>
    <mergeCell ref="AV2:AW2"/>
    <mergeCell ref="O2:O3"/>
    <mergeCell ref="P2:P3"/>
    <mergeCell ref="Q2:Q3"/>
    <mergeCell ref="R2:R3"/>
    <mergeCell ref="S2:S3"/>
    <mergeCell ref="T2:T3"/>
    <mergeCell ref="AZ2:AZ3"/>
    <mergeCell ref="BA2:BA3"/>
    <mergeCell ref="BB2:BB3"/>
    <mergeCell ref="B38:C38"/>
    <mergeCell ref="G39:H43"/>
    <mergeCell ref="I39:L40"/>
    <mergeCell ref="U2:U3"/>
    <mergeCell ref="V2:V3"/>
    <mergeCell ref="W2:AH2"/>
    <mergeCell ref="AI2:AJ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 carranza Moreno</dc:creator>
  <cp:keywords/>
  <dc:description/>
  <cp:lastModifiedBy>Marcos Rodríguez</cp:lastModifiedBy>
  <cp:lastPrinted>2019-07-15T16:39:49Z</cp:lastPrinted>
  <dcterms:created xsi:type="dcterms:W3CDTF">2007-03-27T14:39:19Z</dcterms:created>
  <dcterms:modified xsi:type="dcterms:W3CDTF">2022-05-23T17:03:34Z</dcterms:modified>
  <cp:category/>
  <cp:version/>
  <cp:contentType/>
  <cp:contentStatus/>
  <cp:revision>33</cp:revision>
</cp:coreProperties>
</file>

<file path=docProps/custom.xml><?xml version="1.0" encoding="utf-8"?>
<Properties xmlns="http://schemas.openxmlformats.org/officeDocument/2006/custom-properties" xmlns:vt="http://schemas.openxmlformats.org/officeDocument/2006/docPropsVTypes"/>
</file>